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updateLinks="never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data1\Manufacturing\DMP1\Production Work Centers\Energy\Yield\Energy Yield Report - 2024\"/>
    </mc:Choice>
  </mc:AlternateContent>
  <xr:revisionPtr revIDLastSave="0" documentId="13_ncr:1_{D2355C52-DBCC-4C45-800E-0A63F8F0C109}" xr6:coauthVersionLast="47" xr6:coauthVersionMax="47" xr10:uidLastSave="{00000000-0000-0000-0000-000000000000}"/>
  <bookViews>
    <workbookView xWindow="28680" yWindow="-120" windowWidth="25440" windowHeight="15390" tabRatio="889" firstSheet="5" activeTab="18" xr2:uid="{00000000-000D-0000-FFFF-FFFF00000000}"/>
  </bookViews>
  <sheets>
    <sheet name="EB210" sheetId="64" r:id="rId1"/>
    <sheet name="EB210 Graph" sheetId="37" r:id="rId2"/>
    <sheet name="EB211" sheetId="66" r:id="rId3"/>
    <sheet name="EB211 Graph" sheetId="63" r:id="rId4"/>
    <sheet name="EB212" sheetId="53" r:id="rId5"/>
    <sheet name="EB212 Graphs" sheetId="59" r:id="rId6"/>
    <sheet name="EB213" sheetId="56" r:id="rId7"/>
    <sheet name="EB213 Graphs" sheetId="60" r:id="rId8"/>
    <sheet name="EB214" sheetId="57" r:id="rId9"/>
    <sheet name="EB214 Graphs" sheetId="61" r:id="rId10"/>
    <sheet name="EB215" sheetId="45" r:id="rId11"/>
    <sheet name="EB215 Graphs" sheetId="48" r:id="rId12"/>
    <sheet name="EB216" sheetId="46" r:id="rId13"/>
    <sheet name="EB216 Graphs" sheetId="49" r:id="rId14"/>
    <sheet name="EB217" sheetId="47" r:id="rId15"/>
    <sheet name="EB217 Graphs" sheetId="50" r:id="rId16"/>
    <sheet name="EB230" sheetId="42" r:id="rId17"/>
    <sheet name="EB230 Graphs" sheetId="41" r:id="rId18"/>
    <sheet name="EB240" sheetId="44" r:id="rId19"/>
    <sheet name="EB240 Graphs" sheetId="43" r:id="rId20"/>
    <sheet name="Sheet1" sheetId="51" state="hidden" r:id="rId21"/>
  </sheets>
  <definedNames>
    <definedName name="_xlnm._FilterDatabase" localSheetId="1" hidden="1">'EB210 Graph'!$O$4:$R$4</definedName>
    <definedName name="_xlnm._FilterDatabase" localSheetId="3" hidden="1">'EB211 Graph'!$O$4:$R$4</definedName>
    <definedName name="_xlnm._FilterDatabase" localSheetId="5" hidden="1">'EB212 Graphs'!$O$4:$R$4</definedName>
    <definedName name="_xlnm._FilterDatabase" localSheetId="7" hidden="1">'EB213 Graphs'!$O$4:$R$4</definedName>
    <definedName name="_xlnm._FilterDatabase" localSheetId="9" hidden="1">'EB214 Graphs'!$O$4:$R$4</definedName>
    <definedName name="_xlnm._FilterDatabase" localSheetId="11" hidden="1">'EB215 Graphs'!$O$4:$R$4</definedName>
    <definedName name="_xlnm._FilterDatabase" localSheetId="13" hidden="1">'EB216 Graphs'!$O$4:$R$4</definedName>
    <definedName name="_xlnm._FilterDatabase" localSheetId="15" hidden="1">'EB217 Graphs'!$O$4:$R$4</definedName>
    <definedName name="_xlnm._FilterDatabase" localSheetId="17" hidden="1">'EB230 Graphs'!$O$4:$R$4</definedName>
    <definedName name="_xlnm._FilterDatabase" localSheetId="19" hidden="1">'EB240 Graphs'!$O$4:$R$4</definedName>
    <definedName name="_xlnm.Print_Area" localSheetId="0">'EB210'!#REF!</definedName>
    <definedName name="_xlnm.Print_Area" localSheetId="1">'EB210 Graph'!$B$1:$R$30</definedName>
    <definedName name="_xlnm.Print_Area" localSheetId="2">'EB211'!#REF!</definedName>
    <definedName name="_xlnm.Print_Area" localSheetId="3">'EB211 Graph'!$B$1:$R$30</definedName>
    <definedName name="_xlnm.Print_Area" localSheetId="5">'EB212 Graphs'!$B$1:$R$30</definedName>
    <definedName name="_xlnm.Print_Area" localSheetId="7">'EB213 Graphs'!$B$1:$R$30</definedName>
    <definedName name="_xlnm.Print_Area" localSheetId="9">'EB214 Graphs'!$B$1:$R$30</definedName>
    <definedName name="_xlnm.Print_Area" localSheetId="10">'EB215'!#REF!</definedName>
    <definedName name="_xlnm.Print_Area" localSheetId="11">'EB215 Graphs'!$B$1:$R$32</definedName>
    <definedName name="_xlnm.Print_Area" localSheetId="12">'EB216'!#REF!</definedName>
    <definedName name="_xlnm.Print_Area" localSheetId="13">'EB216 Graphs'!$B$1:$R$30</definedName>
    <definedName name="_xlnm.Print_Area" localSheetId="15">'EB217 Graphs'!$B$1:$R$30</definedName>
    <definedName name="_xlnm.Print_Area" localSheetId="17">'EB230 Graphs'!$B$1:$R$31</definedName>
    <definedName name="_xlnm.Print_Area" localSheetId="19">'EB240 Graphs'!$B$1:$R$32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46" i="44" l="1"/>
  <c r="W545" i="44"/>
  <c r="W543" i="44"/>
  <c r="W544" i="44"/>
  <c r="W534" i="44"/>
  <c r="W535" i="44"/>
  <c r="W536" i="44"/>
  <c r="W537" i="44"/>
  <c r="W538" i="44"/>
  <c r="W539" i="44"/>
  <c r="W540" i="44"/>
  <c r="W541" i="44"/>
  <c r="W542" i="44"/>
  <c r="W533" i="44"/>
  <c r="W532" i="44"/>
  <c r="W530" i="44"/>
  <c r="W513" i="44"/>
  <c r="W514" i="44"/>
  <c r="W515" i="44"/>
  <c r="W516" i="44"/>
  <c r="W517" i="44"/>
  <c r="W518" i="44"/>
  <c r="W519" i="44"/>
  <c r="W520" i="44"/>
  <c r="W521" i="44"/>
  <c r="W522" i="44"/>
  <c r="W523" i="44"/>
  <c r="W524" i="44"/>
  <c r="W525" i="44"/>
  <c r="W526" i="44"/>
  <c r="W527" i="44"/>
  <c r="W528" i="44"/>
  <c r="W529" i="44"/>
  <c r="W512" i="44"/>
  <c r="W511" i="44"/>
  <c r="W506" i="44"/>
  <c r="W505" i="44"/>
  <c r="W495" i="44"/>
  <c r="W496" i="44"/>
  <c r="W497" i="44"/>
  <c r="W498" i="44"/>
  <c r="W499" i="44"/>
  <c r="W500" i="44"/>
  <c r="W501" i="44"/>
  <c r="W502" i="44"/>
  <c r="W503" i="44"/>
  <c r="W504" i="44"/>
  <c r="W494" i="44"/>
  <c r="W493" i="44"/>
  <c r="W491" i="44"/>
  <c r="W473" i="44"/>
  <c r="W474" i="44"/>
  <c r="W475" i="44"/>
  <c r="W476" i="44"/>
  <c r="W477" i="44"/>
  <c r="W478" i="44"/>
  <c r="W479" i="44"/>
  <c r="W480" i="44"/>
  <c r="W481" i="44"/>
  <c r="W482" i="44"/>
  <c r="W483" i="44"/>
  <c r="W484" i="44"/>
  <c r="W485" i="44"/>
  <c r="W486" i="44"/>
  <c r="W487" i="44"/>
  <c r="W488" i="44"/>
  <c r="W489" i="44"/>
  <c r="W490" i="44"/>
  <c r="W472" i="44"/>
  <c r="W471" i="44"/>
  <c r="W466" i="44"/>
  <c r="W465" i="44"/>
  <c r="W455" i="44"/>
  <c r="W456" i="44"/>
  <c r="W457" i="44"/>
  <c r="W458" i="44"/>
  <c r="W459" i="44"/>
  <c r="W460" i="44"/>
  <c r="W461" i="44"/>
  <c r="W462" i="44"/>
  <c r="W463" i="44"/>
  <c r="W464" i="44"/>
  <c r="W454" i="44"/>
  <c r="W453" i="44"/>
  <c r="W451" i="44"/>
  <c r="W434" i="44"/>
  <c r="W435" i="44"/>
  <c r="W436" i="44"/>
  <c r="W437" i="44"/>
  <c r="W438" i="44"/>
  <c r="W439" i="44"/>
  <c r="W440" i="44"/>
  <c r="W441" i="44"/>
  <c r="W442" i="44"/>
  <c r="W443" i="44"/>
  <c r="W444" i="44"/>
  <c r="W445" i="44"/>
  <c r="W446" i="44"/>
  <c r="W447" i="44"/>
  <c r="W448" i="44"/>
  <c r="W449" i="44"/>
  <c r="W450" i="44"/>
  <c r="W433" i="44"/>
  <c r="W432" i="44"/>
  <c r="W427" i="44"/>
  <c r="W426" i="44"/>
  <c r="W416" i="44"/>
  <c r="W417" i="44"/>
  <c r="W418" i="44"/>
  <c r="W419" i="44"/>
  <c r="W420" i="44"/>
  <c r="W421" i="44"/>
  <c r="W422" i="44"/>
  <c r="W423" i="44"/>
  <c r="W424" i="44"/>
  <c r="W425" i="44"/>
  <c r="W415" i="44"/>
  <c r="W414" i="44"/>
  <c r="W412" i="44"/>
  <c r="W395" i="44"/>
  <c r="W396" i="44"/>
  <c r="W397" i="44"/>
  <c r="W398" i="44"/>
  <c r="W399" i="44"/>
  <c r="W400" i="44"/>
  <c r="W401" i="44"/>
  <c r="W402" i="44"/>
  <c r="W403" i="44"/>
  <c r="W404" i="44"/>
  <c r="W405" i="44"/>
  <c r="W406" i="44"/>
  <c r="W407" i="44"/>
  <c r="W408" i="44"/>
  <c r="W409" i="44"/>
  <c r="W410" i="44"/>
  <c r="W411" i="44"/>
  <c r="W394" i="44"/>
  <c r="W393" i="44"/>
  <c r="W388" i="44"/>
  <c r="W387" i="44"/>
  <c r="W377" i="44"/>
  <c r="W378" i="44"/>
  <c r="W379" i="44"/>
  <c r="W380" i="44"/>
  <c r="W381" i="44"/>
  <c r="W382" i="44"/>
  <c r="W383" i="44"/>
  <c r="W384" i="44"/>
  <c r="W385" i="44"/>
  <c r="W386" i="44"/>
  <c r="W376" i="44"/>
  <c r="W375" i="44"/>
  <c r="W373" i="44"/>
  <c r="W356" i="44"/>
  <c r="W357" i="44"/>
  <c r="W358" i="44"/>
  <c r="W359" i="44"/>
  <c r="W360" i="44"/>
  <c r="W361" i="44"/>
  <c r="W362" i="44"/>
  <c r="W363" i="44"/>
  <c r="W364" i="44"/>
  <c r="W365" i="44"/>
  <c r="W366" i="44"/>
  <c r="W367" i="44"/>
  <c r="W368" i="44"/>
  <c r="W369" i="44"/>
  <c r="W370" i="44"/>
  <c r="W371" i="44"/>
  <c r="W372" i="44"/>
  <c r="W355" i="44"/>
  <c r="W354" i="44"/>
  <c r="W349" i="44"/>
  <c r="W348" i="44"/>
  <c r="W338" i="44"/>
  <c r="W339" i="44"/>
  <c r="W340" i="44"/>
  <c r="W341" i="44"/>
  <c r="W342" i="44"/>
  <c r="W343" i="44"/>
  <c r="W344" i="44"/>
  <c r="W345" i="44"/>
  <c r="W346" i="44"/>
  <c r="W347" i="44"/>
  <c r="W337" i="44"/>
  <c r="W336" i="44"/>
  <c r="W334" i="44"/>
  <c r="W317" i="44"/>
  <c r="W318" i="44"/>
  <c r="W319" i="44"/>
  <c r="W320" i="44"/>
  <c r="W321" i="44"/>
  <c r="W322" i="44"/>
  <c r="W323" i="44"/>
  <c r="W324" i="44"/>
  <c r="W325" i="44"/>
  <c r="W326" i="44"/>
  <c r="W327" i="44"/>
  <c r="W328" i="44"/>
  <c r="W329" i="44"/>
  <c r="W330" i="44"/>
  <c r="W331" i="44"/>
  <c r="W332" i="44"/>
  <c r="W333" i="44"/>
  <c r="W316" i="44"/>
  <c r="W315" i="44"/>
  <c r="W310" i="44"/>
  <c r="W309" i="44"/>
  <c r="W299" i="44"/>
  <c r="W300" i="44"/>
  <c r="W301" i="44"/>
  <c r="W302" i="44"/>
  <c r="W303" i="44"/>
  <c r="W304" i="44"/>
  <c r="W305" i="44"/>
  <c r="W306" i="44"/>
  <c r="W307" i="44"/>
  <c r="W308" i="44"/>
  <c r="W298" i="44"/>
  <c r="W297" i="44"/>
  <c r="W295" i="44"/>
  <c r="W278" i="44"/>
  <c r="W279" i="44"/>
  <c r="W280" i="44"/>
  <c r="W281" i="44"/>
  <c r="W282" i="44"/>
  <c r="W283" i="44"/>
  <c r="W284" i="44"/>
  <c r="W285" i="44"/>
  <c r="W286" i="44"/>
  <c r="W287" i="44"/>
  <c r="W288" i="44"/>
  <c r="W289" i="44"/>
  <c r="W290" i="44"/>
  <c r="W291" i="44"/>
  <c r="W292" i="44"/>
  <c r="W293" i="44"/>
  <c r="W294" i="44"/>
  <c r="W277" i="44"/>
  <c r="W276" i="44"/>
  <c r="W271" i="44"/>
  <c r="W270" i="44"/>
  <c r="W260" i="44"/>
  <c r="W261" i="44"/>
  <c r="W262" i="44"/>
  <c r="W263" i="44"/>
  <c r="W264" i="44"/>
  <c r="W265" i="44"/>
  <c r="W266" i="44"/>
  <c r="W267" i="44"/>
  <c r="W268" i="44"/>
  <c r="W269" i="44"/>
  <c r="W259" i="44"/>
  <c r="W258" i="44"/>
  <c r="W256" i="44"/>
  <c r="W239" i="44"/>
  <c r="W240" i="44"/>
  <c r="W241" i="44"/>
  <c r="W242" i="44"/>
  <c r="W243" i="44"/>
  <c r="W244" i="44"/>
  <c r="W245" i="44"/>
  <c r="W246" i="44"/>
  <c r="W247" i="44"/>
  <c r="W248" i="44"/>
  <c r="W249" i="44"/>
  <c r="W250" i="44"/>
  <c r="W251" i="44"/>
  <c r="W252" i="44"/>
  <c r="W253" i="44"/>
  <c r="W254" i="44"/>
  <c r="W255" i="44"/>
  <c r="W238" i="44"/>
  <c r="W237" i="44"/>
  <c r="W232" i="44"/>
  <c r="W231" i="44"/>
  <c r="W221" i="44"/>
  <c r="W222" i="44"/>
  <c r="W223" i="44"/>
  <c r="W224" i="44"/>
  <c r="W225" i="44"/>
  <c r="W226" i="44"/>
  <c r="W227" i="44"/>
  <c r="W228" i="44"/>
  <c r="W229" i="44"/>
  <c r="W230" i="44"/>
  <c r="W220" i="44"/>
  <c r="W219" i="44"/>
  <c r="W217" i="44"/>
  <c r="W200" i="44"/>
  <c r="W201" i="44"/>
  <c r="W202" i="44"/>
  <c r="W203" i="44"/>
  <c r="W204" i="44"/>
  <c r="W205" i="44"/>
  <c r="W206" i="44"/>
  <c r="W207" i="44"/>
  <c r="W208" i="44"/>
  <c r="W209" i="44"/>
  <c r="W210" i="44"/>
  <c r="W211" i="44"/>
  <c r="W212" i="44"/>
  <c r="W213" i="44"/>
  <c r="W214" i="44"/>
  <c r="W215" i="44"/>
  <c r="W216" i="44"/>
  <c r="W199" i="44"/>
  <c r="W198" i="44"/>
  <c r="W193" i="44"/>
  <c r="W192" i="44"/>
  <c r="W182" i="44"/>
  <c r="W183" i="44"/>
  <c r="W184" i="44"/>
  <c r="W185" i="44"/>
  <c r="W186" i="44"/>
  <c r="W187" i="44"/>
  <c r="W188" i="44"/>
  <c r="W189" i="44"/>
  <c r="W190" i="44"/>
  <c r="W191" i="44"/>
  <c r="W181" i="44"/>
  <c r="W180" i="44"/>
  <c r="W178" i="44"/>
  <c r="W161" i="44"/>
  <c r="W162" i="44"/>
  <c r="W163" i="44"/>
  <c r="W164" i="44"/>
  <c r="W165" i="44"/>
  <c r="W166" i="44"/>
  <c r="W167" i="44"/>
  <c r="W168" i="44"/>
  <c r="W169" i="44"/>
  <c r="W170" i="44"/>
  <c r="W171" i="44"/>
  <c r="W172" i="44"/>
  <c r="W173" i="44"/>
  <c r="W174" i="44"/>
  <c r="W175" i="44"/>
  <c r="W176" i="44"/>
  <c r="W177" i="44"/>
  <c r="W160" i="44"/>
  <c r="W159" i="44"/>
  <c r="W3" i="44"/>
  <c r="N519" i="42"/>
  <c r="N520" i="42"/>
  <c r="N499" i="42"/>
  <c r="N500" i="42"/>
  <c r="N501" i="42"/>
  <c r="N502" i="42"/>
  <c r="N503" i="42"/>
  <c r="N504" i="42"/>
  <c r="N505" i="42"/>
  <c r="N506" i="42"/>
  <c r="N507" i="42"/>
  <c r="N508" i="42"/>
  <c r="N509" i="42"/>
  <c r="N510" i="42"/>
  <c r="N511" i="42"/>
  <c r="N512" i="42"/>
  <c r="N513" i="42"/>
  <c r="N514" i="42"/>
  <c r="N515" i="42"/>
  <c r="N516" i="42"/>
  <c r="N517" i="42"/>
  <c r="N518" i="42"/>
  <c r="N498" i="42"/>
  <c r="N497" i="42"/>
  <c r="N495" i="42"/>
  <c r="N484" i="42"/>
  <c r="N485" i="42"/>
  <c r="N486" i="42"/>
  <c r="N487" i="42"/>
  <c r="N488" i="42"/>
  <c r="N489" i="42"/>
  <c r="N490" i="42"/>
  <c r="N491" i="42"/>
  <c r="N492" i="42"/>
  <c r="N493" i="42"/>
  <c r="N494" i="42"/>
  <c r="N483" i="42"/>
  <c r="N482" i="42"/>
  <c r="N480" i="42"/>
  <c r="N460" i="42"/>
  <c r="N461" i="42"/>
  <c r="N462" i="42"/>
  <c r="N463" i="42"/>
  <c r="N464" i="42"/>
  <c r="N465" i="42"/>
  <c r="N466" i="42"/>
  <c r="N467" i="42"/>
  <c r="N468" i="42"/>
  <c r="N469" i="42"/>
  <c r="N470" i="42"/>
  <c r="N471" i="42"/>
  <c r="N472" i="42"/>
  <c r="N473" i="42"/>
  <c r="N474" i="42"/>
  <c r="N475" i="42"/>
  <c r="N476" i="42"/>
  <c r="N477" i="42"/>
  <c r="N478" i="42"/>
  <c r="N479" i="42"/>
  <c r="N459" i="42"/>
  <c r="N458" i="42"/>
  <c r="N453" i="42"/>
  <c r="N452" i="42"/>
  <c r="N434" i="42"/>
  <c r="N435" i="42"/>
  <c r="N436" i="42"/>
  <c r="N437" i="42"/>
  <c r="N438" i="42"/>
  <c r="N439" i="42"/>
  <c r="N440" i="42"/>
  <c r="N441" i="42"/>
  <c r="N442" i="42"/>
  <c r="N443" i="42"/>
  <c r="N444" i="42"/>
  <c r="N445" i="42"/>
  <c r="N446" i="42"/>
  <c r="N447" i="42"/>
  <c r="N448" i="42"/>
  <c r="N449" i="42"/>
  <c r="N450" i="42"/>
  <c r="N451" i="42"/>
  <c r="N433" i="42"/>
  <c r="N432" i="42"/>
  <c r="N419" i="42"/>
  <c r="N30" i="42"/>
  <c r="N418" i="42"/>
  <c r="N430" i="42"/>
  <c r="N420" i="42"/>
  <c r="N421" i="42"/>
  <c r="N422" i="42"/>
  <c r="N423" i="42"/>
  <c r="N424" i="42"/>
  <c r="N425" i="42"/>
  <c r="N426" i="42"/>
  <c r="N427" i="42"/>
  <c r="N428" i="42"/>
  <c r="N429" i="42"/>
  <c r="N416" i="42"/>
  <c r="N397" i="42"/>
  <c r="N398" i="42"/>
  <c r="N399" i="42"/>
  <c r="N400" i="42"/>
  <c r="N401" i="42"/>
  <c r="N402" i="42"/>
  <c r="N403" i="42"/>
  <c r="N404" i="42"/>
  <c r="N405" i="42"/>
  <c r="N406" i="42"/>
  <c r="N407" i="42"/>
  <c r="N408" i="42"/>
  <c r="N409" i="42"/>
  <c r="N410" i="42"/>
  <c r="N411" i="42"/>
  <c r="N412" i="42"/>
  <c r="N413" i="42"/>
  <c r="N414" i="42"/>
  <c r="N415" i="42"/>
  <c r="N396" i="42"/>
  <c r="N395" i="42"/>
  <c r="N390" i="42"/>
  <c r="N389" i="42"/>
  <c r="N371" i="42"/>
  <c r="N372" i="42"/>
  <c r="N373" i="42"/>
  <c r="N374" i="42"/>
  <c r="N375" i="42"/>
  <c r="N376" i="42"/>
  <c r="N377" i="42"/>
  <c r="N378" i="42"/>
  <c r="N379" i="42"/>
  <c r="N380" i="42"/>
  <c r="N381" i="42"/>
  <c r="N382" i="42"/>
  <c r="N383" i="42"/>
  <c r="N384" i="42"/>
  <c r="N385" i="42"/>
  <c r="N386" i="42"/>
  <c r="N387" i="42"/>
  <c r="N388" i="42"/>
  <c r="N370" i="42"/>
  <c r="N369" i="42"/>
  <c r="N366" i="42"/>
  <c r="N357" i="42"/>
  <c r="N358" i="42"/>
  <c r="N359" i="42"/>
  <c r="N360" i="42"/>
  <c r="N361" i="42"/>
  <c r="N362" i="42"/>
  <c r="N363" i="42"/>
  <c r="N364" i="42"/>
  <c r="N365" i="42"/>
  <c r="N356" i="42"/>
  <c r="N355" i="42"/>
  <c r="N353" i="42"/>
  <c r="N334" i="42"/>
  <c r="N335" i="42"/>
  <c r="N336" i="42"/>
  <c r="N337" i="42"/>
  <c r="N338" i="42"/>
  <c r="N339" i="42"/>
  <c r="N340" i="42"/>
  <c r="N341" i="42"/>
  <c r="N342" i="42"/>
  <c r="N343" i="42"/>
  <c r="N344" i="42"/>
  <c r="N345" i="42"/>
  <c r="N346" i="42"/>
  <c r="N347" i="42"/>
  <c r="N348" i="42"/>
  <c r="N349" i="42"/>
  <c r="N350" i="42"/>
  <c r="N351" i="42"/>
  <c r="N352" i="42"/>
  <c r="N333" i="42"/>
  <c r="N332" i="42"/>
  <c r="N327" i="42"/>
  <c r="N326" i="42"/>
  <c r="N308" i="42"/>
  <c r="N309" i="42"/>
  <c r="N310" i="42"/>
  <c r="N311" i="42"/>
  <c r="N312" i="42"/>
  <c r="N313" i="42"/>
  <c r="N314" i="42"/>
  <c r="N315" i="42"/>
  <c r="N316" i="42"/>
  <c r="N317" i="42"/>
  <c r="N318" i="42"/>
  <c r="N319" i="42"/>
  <c r="N320" i="42"/>
  <c r="N321" i="42"/>
  <c r="N322" i="42"/>
  <c r="N323" i="42"/>
  <c r="N324" i="42"/>
  <c r="N325" i="42"/>
  <c r="N307" i="42"/>
  <c r="N306" i="42"/>
  <c r="N304" i="42"/>
  <c r="N303" i="42"/>
  <c r="N294" i="42"/>
  <c r="N295" i="42"/>
  <c r="N296" i="42"/>
  <c r="N297" i="42"/>
  <c r="N298" i="42"/>
  <c r="N299" i="42"/>
  <c r="N300" i="42"/>
  <c r="N301" i="42"/>
  <c r="N302" i="42"/>
  <c r="N293" i="42"/>
  <c r="N292" i="42"/>
  <c r="N290" i="42"/>
  <c r="N289" i="42"/>
  <c r="N271" i="42"/>
  <c r="N272" i="42"/>
  <c r="N273" i="42"/>
  <c r="N274" i="42"/>
  <c r="N275" i="42"/>
  <c r="N276" i="42"/>
  <c r="N277" i="42"/>
  <c r="N278" i="42"/>
  <c r="N279" i="42"/>
  <c r="N280" i="42"/>
  <c r="N281" i="42"/>
  <c r="N282" i="42"/>
  <c r="N283" i="42"/>
  <c r="N284" i="42"/>
  <c r="N285" i="42"/>
  <c r="N286" i="42"/>
  <c r="N287" i="42"/>
  <c r="N288" i="42"/>
  <c r="N270" i="42"/>
  <c r="N269" i="42"/>
  <c r="N264" i="42"/>
  <c r="N263" i="42"/>
  <c r="N249" i="42"/>
  <c r="N250" i="42"/>
  <c r="N251" i="42"/>
  <c r="N252" i="42"/>
  <c r="N253" i="42"/>
  <c r="N254" i="42"/>
  <c r="N255" i="42"/>
  <c r="N256" i="42"/>
  <c r="N257" i="42"/>
  <c r="N258" i="42"/>
  <c r="N259" i="42"/>
  <c r="N260" i="42"/>
  <c r="N261" i="42"/>
  <c r="N262" i="42"/>
  <c r="N248" i="42"/>
  <c r="N247" i="42"/>
  <c r="N245" i="42"/>
  <c r="N239" i="42"/>
  <c r="N240" i="42"/>
  <c r="N241" i="42"/>
  <c r="N242" i="42"/>
  <c r="N243" i="42"/>
  <c r="N244" i="42"/>
  <c r="N238" i="42"/>
  <c r="N237" i="42"/>
  <c r="N235" i="42"/>
  <c r="N217" i="42"/>
  <c r="N218" i="42"/>
  <c r="N219" i="42"/>
  <c r="N220" i="42"/>
  <c r="N221" i="42"/>
  <c r="N222" i="42"/>
  <c r="N223" i="42"/>
  <c r="N224" i="42"/>
  <c r="N225" i="42"/>
  <c r="N226" i="42"/>
  <c r="N227" i="42"/>
  <c r="N228" i="42"/>
  <c r="N229" i="42"/>
  <c r="N230" i="42"/>
  <c r="N231" i="42"/>
  <c r="N232" i="42"/>
  <c r="N233" i="42"/>
  <c r="N234" i="42"/>
  <c r="N216" i="42"/>
  <c r="N215" i="42" l="1"/>
  <c r="N210" i="42"/>
  <c r="N209" i="42"/>
  <c r="N197" i="42"/>
  <c r="N198" i="42"/>
  <c r="N199" i="42"/>
  <c r="N200" i="42"/>
  <c r="N201" i="42"/>
  <c r="N202" i="42"/>
  <c r="N203" i="42"/>
  <c r="N204" i="42"/>
  <c r="N205" i="42"/>
  <c r="N206" i="42"/>
  <c r="N207" i="42"/>
  <c r="N208" i="42"/>
  <c r="N196" i="42"/>
  <c r="N195" i="42"/>
  <c r="N193" i="42"/>
  <c r="N187" i="42"/>
  <c r="N188" i="42"/>
  <c r="N189" i="42"/>
  <c r="N190" i="42"/>
  <c r="N191" i="42"/>
  <c r="N192" i="42"/>
  <c r="N186" i="42"/>
  <c r="N185" i="42"/>
  <c r="N183" i="42"/>
  <c r="N165" i="42"/>
  <c r="N166" i="42"/>
  <c r="N167" i="42"/>
  <c r="N168" i="42"/>
  <c r="N169" i="42"/>
  <c r="N170" i="42"/>
  <c r="N171" i="42"/>
  <c r="N172" i="42"/>
  <c r="N173" i="42"/>
  <c r="N174" i="42"/>
  <c r="N175" i="42"/>
  <c r="N176" i="42"/>
  <c r="N177" i="42"/>
  <c r="N178" i="42"/>
  <c r="N179" i="42"/>
  <c r="N180" i="42"/>
  <c r="N181" i="42"/>
  <c r="N182" i="42"/>
  <c r="N164" i="42"/>
  <c r="N163" i="42"/>
  <c r="N158" i="42"/>
  <c r="N157" i="42"/>
  <c r="N144" i="42"/>
  <c r="N145" i="42"/>
  <c r="N146" i="42"/>
  <c r="N147" i="42"/>
  <c r="N148" i="42"/>
  <c r="N149" i="42"/>
  <c r="N150" i="42"/>
  <c r="N151" i="42"/>
  <c r="N152" i="42"/>
  <c r="N153" i="42"/>
  <c r="N154" i="42"/>
  <c r="N155" i="42"/>
  <c r="N156" i="42"/>
  <c r="N143" i="42"/>
  <c r="N142" i="42"/>
  <c r="N140" i="42"/>
  <c r="N135" i="42"/>
  <c r="N136" i="42"/>
  <c r="N137" i="42"/>
  <c r="N138" i="42"/>
  <c r="N139" i="42"/>
  <c r="N134" i="42"/>
  <c r="N133" i="42"/>
  <c r="N131" i="42"/>
  <c r="N112" i="42"/>
  <c r="N113" i="42"/>
  <c r="N114" i="42"/>
  <c r="N115" i="42"/>
  <c r="N116" i="42"/>
  <c r="N117" i="42"/>
  <c r="N118" i="42"/>
  <c r="N119" i="42"/>
  <c r="N120" i="42"/>
  <c r="N121" i="42"/>
  <c r="N122" i="42"/>
  <c r="N123" i="42"/>
  <c r="N124" i="42"/>
  <c r="N125" i="42"/>
  <c r="N126" i="42"/>
  <c r="N127" i="42"/>
  <c r="N128" i="42"/>
  <c r="N129" i="42"/>
  <c r="N130" i="42"/>
  <c r="N111" i="42"/>
  <c r="N110" i="42"/>
  <c r="N105" i="42"/>
  <c r="N104" i="42"/>
  <c r="N91" i="42"/>
  <c r="N92" i="42"/>
  <c r="N93" i="42"/>
  <c r="N94" i="42"/>
  <c r="N95" i="42"/>
  <c r="N96" i="42"/>
  <c r="N97" i="42"/>
  <c r="N98" i="42"/>
  <c r="N99" i="42"/>
  <c r="N100" i="42"/>
  <c r="N101" i="42"/>
  <c r="N102" i="42"/>
  <c r="N103" i="42"/>
  <c r="N90" i="42"/>
  <c r="N89" i="42"/>
  <c r="N87" i="42"/>
  <c r="N82" i="42"/>
  <c r="N83" i="42"/>
  <c r="N84" i="42"/>
  <c r="N85" i="42"/>
  <c r="N86" i="42"/>
  <c r="N81" i="42"/>
  <c r="N80" i="42"/>
  <c r="N78" i="42"/>
  <c r="N77" i="42"/>
  <c r="N59" i="42"/>
  <c r="N60" i="42"/>
  <c r="N61" i="42"/>
  <c r="N62" i="42"/>
  <c r="N63" i="42"/>
  <c r="N64" i="42"/>
  <c r="N65" i="42"/>
  <c r="N66" i="42"/>
  <c r="N67" i="42"/>
  <c r="N68" i="42"/>
  <c r="N69" i="42"/>
  <c r="N70" i="42"/>
  <c r="N71" i="42"/>
  <c r="N72" i="42"/>
  <c r="N73" i="42"/>
  <c r="N74" i="42"/>
  <c r="N75" i="42"/>
  <c r="N76" i="42"/>
  <c r="N58" i="42"/>
  <c r="N57" i="42"/>
  <c r="U133" i="47"/>
  <c r="U132" i="47"/>
  <c r="U127" i="47"/>
  <c r="U128" i="47"/>
  <c r="U129" i="47"/>
  <c r="U130" i="47"/>
  <c r="U131" i="47"/>
  <c r="U126" i="47"/>
  <c r="U125" i="47"/>
  <c r="U123" i="47"/>
  <c r="U112" i="47"/>
  <c r="U113" i="47"/>
  <c r="U114" i="47"/>
  <c r="U115" i="47"/>
  <c r="U116" i="47"/>
  <c r="U117" i="47"/>
  <c r="U118" i="47"/>
  <c r="U119" i="47"/>
  <c r="U120" i="47"/>
  <c r="U121" i="47"/>
  <c r="U122" i="47"/>
  <c r="U111" i="47"/>
  <c r="U110" i="47"/>
  <c r="U109" i="47"/>
  <c r="U95" i="47"/>
  <c r="U96" i="47"/>
  <c r="U97" i="47"/>
  <c r="U98" i="47"/>
  <c r="U99" i="47"/>
  <c r="U100" i="47"/>
  <c r="U101" i="47"/>
  <c r="U102" i="47"/>
  <c r="U103" i="47"/>
  <c r="U104" i="47"/>
  <c r="U105" i="47"/>
  <c r="U106" i="47"/>
  <c r="U107" i="47"/>
  <c r="U108" i="47"/>
  <c r="U94" i="47"/>
  <c r="U93" i="47"/>
  <c r="U88" i="47"/>
  <c r="U87" i="47"/>
  <c r="U82" i="47"/>
  <c r="U83" i="47"/>
  <c r="U84" i="47"/>
  <c r="U85" i="47"/>
  <c r="U86" i="47"/>
  <c r="U81" i="47"/>
  <c r="U80" i="47"/>
  <c r="U78" i="47"/>
  <c r="U67" i="47"/>
  <c r="U68" i="47"/>
  <c r="U69" i="47"/>
  <c r="U70" i="47"/>
  <c r="U71" i="47"/>
  <c r="U72" i="47"/>
  <c r="U73" i="47"/>
  <c r="U74" i="47"/>
  <c r="U75" i="47"/>
  <c r="U76" i="47"/>
  <c r="U77" i="47"/>
  <c r="U66" i="47"/>
  <c r="U65" i="47"/>
  <c r="U64" i="47"/>
  <c r="U50" i="47"/>
  <c r="U51" i="47"/>
  <c r="U52" i="47"/>
  <c r="U53" i="47"/>
  <c r="U54" i="47"/>
  <c r="U55" i="47"/>
  <c r="U56" i="47"/>
  <c r="U57" i="47"/>
  <c r="U58" i="47"/>
  <c r="U59" i="47"/>
  <c r="U60" i="47"/>
  <c r="U61" i="47"/>
  <c r="U62" i="47"/>
  <c r="U63" i="47"/>
  <c r="U49" i="47"/>
  <c r="U48" i="47"/>
  <c r="U642" i="45"/>
  <c r="U641" i="45"/>
  <c r="U634" i="45"/>
  <c r="U635" i="45"/>
  <c r="U636" i="45"/>
  <c r="U637" i="45"/>
  <c r="U638" i="45"/>
  <c r="U639" i="45"/>
  <c r="U640" i="45"/>
  <c r="U633" i="45"/>
  <c r="U632" i="45"/>
  <c r="U630" i="45"/>
  <c r="U618" i="45"/>
  <c r="U619" i="45"/>
  <c r="U620" i="45"/>
  <c r="U621" i="45"/>
  <c r="U622" i="45"/>
  <c r="U623" i="45"/>
  <c r="U624" i="45"/>
  <c r="U625" i="45"/>
  <c r="U626" i="45"/>
  <c r="U627" i="45"/>
  <c r="U628" i="45"/>
  <c r="U629" i="45"/>
  <c r="U617" i="45"/>
  <c r="U616" i="45"/>
  <c r="U615" i="45"/>
  <c r="U600" i="45"/>
  <c r="U601" i="45"/>
  <c r="U602" i="45"/>
  <c r="U603" i="45"/>
  <c r="U604" i="45"/>
  <c r="U605" i="45"/>
  <c r="U606" i="45"/>
  <c r="U607" i="45"/>
  <c r="U608" i="45"/>
  <c r="U609" i="45"/>
  <c r="U610" i="45"/>
  <c r="U611" i="45"/>
  <c r="U612" i="45"/>
  <c r="U613" i="45"/>
  <c r="U614" i="45"/>
  <c r="U599" i="45"/>
  <c r="U598" i="45"/>
  <c r="U593" i="45"/>
  <c r="U592" i="45"/>
  <c r="U585" i="45"/>
  <c r="U586" i="45"/>
  <c r="U587" i="45"/>
  <c r="U588" i="45"/>
  <c r="U589" i="45"/>
  <c r="U590" i="45"/>
  <c r="U591" i="45"/>
  <c r="U584" i="45"/>
  <c r="U583" i="45"/>
  <c r="U581" i="45"/>
  <c r="U569" i="45"/>
  <c r="U570" i="45"/>
  <c r="U571" i="45"/>
  <c r="U572" i="45"/>
  <c r="U573" i="45"/>
  <c r="U574" i="45"/>
  <c r="U575" i="45"/>
  <c r="U576" i="45"/>
  <c r="U577" i="45"/>
  <c r="U578" i="45"/>
  <c r="U579" i="45"/>
  <c r="U580" i="45"/>
  <c r="U568" i="45"/>
  <c r="U567" i="45"/>
  <c r="U566" i="45"/>
  <c r="U551" i="45"/>
  <c r="U552" i="45"/>
  <c r="U553" i="45"/>
  <c r="U554" i="45"/>
  <c r="U555" i="45"/>
  <c r="U556" i="45"/>
  <c r="U557" i="45"/>
  <c r="U558" i="45"/>
  <c r="U559" i="45"/>
  <c r="U560" i="45"/>
  <c r="U561" i="45"/>
  <c r="U562" i="45"/>
  <c r="U563" i="45"/>
  <c r="U564" i="45"/>
  <c r="U565" i="45"/>
  <c r="U550" i="45"/>
  <c r="U549" i="45"/>
  <c r="U544" i="45"/>
  <c r="U543" i="45"/>
  <c r="U536" i="45"/>
  <c r="U537" i="45"/>
  <c r="U538" i="45"/>
  <c r="U539" i="45"/>
  <c r="U540" i="45"/>
  <c r="U541" i="45"/>
  <c r="U542" i="45"/>
  <c r="U535" i="45"/>
  <c r="U534" i="45"/>
  <c r="U532" i="45"/>
  <c r="U520" i="45"/>
  <c r="U521" i="45"/>
  <c r="U522" i="45"/>
  <c r="U523" i="45"/>
  <c r="U524" i="45"/>
  <c r="U525" i="45"/>
  <c r="U526" i="45"/>
  <c r="U527" i="45"/>
  <c r="U528" i="45"/>
  <c r="U529" i="45"/>
  <c r="U530" i="45"/>
  <c r="U531" i="45"/>
  <c r="U519" i="45"/>
  <c r="U518" i="45"/>
  <c r="U517" i="45"/>
  <c r="U502" i="45"/>
  <c r="U503" i="45"/>
  <c r="U504" i="45"/>
  <c r="U505" i="45"/>
  <c r="U506" i="45"/>
  <c r="U507" i="45"/>
  <c r="U508" i="45"/>
  <c r="U509" i="45"/>
  <c r="U510" i="45"/>
  <c r="U511" i="45"/>
  <c r="U512" i="45"/>
  <c r="U513" i="45"/>
  <c r="U514" i="45"/>
  <c r="U515" i="45"/>
  <c r="U516" i="45"/>
  <c r="U501" i="45"/>
  <c r="U500" i="45"/>
  <c r="U495" i="45"/>
  <c r="U494" i="45"/>
  <c r="U487" i="45"/>
  <c r="U488" i="45"/>
  <c r="U489" i="45"/>
  <c r="U490" i="45"/>
  <c r="U491" i="45"/>
  <c r="U492" i="45"/>
  <c r="U493" i="45"/>
  <c r="U486" i="45"/>
  <c r="U485" i="45"/>
  <c r="U483" i="45"/>
  <c r="U471" i="45"/>
  <c r="U472" i="45"/>
  <c r="U473" i="45"/>
  <c r="U474" i="45"/>
  <c r="U475" i="45"/>
  <c r="U476" i="45"/>
  <c r="U477" i="45"/>
  <c r="U478" i="45"/>
  <c r="U479" i="45"/>
  <c r="U480" i="45"/>
  <c r="U481" i="45"/>
  <c r="U482" i="45"/>
  <c r="U470" i="45"/>
  <c r="U469" i="45"/>
  <c r="U468" i="45"/>
  <c r="U453" i="45"/>
  <c r="U454" i="45"/>
  <c r="U455" i="45"/>
  <c r="U456" i="45"/>
  <c r="U457" i="45"/>
  <c r="U458" i="45"/>
  <c r="U459" i="45"/>
  <c r="U460" i="45"/>
  <c r="U461" i="45"/>
  <c r="U462" i="45"/>
  <c r="U463" i="45"/>
  <c r="U464" i="45"/>
  <c r="U465" i="45"/>
  <c r="U466" i="45"/>
  <c r="U467" i="45"/>
  <c r="U452" i="45"/>
  <c r="U451" i="45"/>
  <c r="U446" i="45"/>
  <c r="U445" i="45"/>
  <c r="U438" i="45"/>
  <c r="U439" i="45"/>
  <c r="U440" i="45"/>
  <c r="U441" i="45"/>
  <c r="U442" i="45"/>
  <c r="U443" i="45"/>
  <c r="U444" i="45"/>
  <c r="U437" i="45"/>
  <c r="U436" i="45"/>
  <c r="U434" i="45"/>
  <c r="U424" i="45"/>
  <c r="U425" i="45"/>
  <c r="U426" i="45"/>
  <c r="U427" i="45"/>
  <c r="U428" i="45"/>
  <c r="U429" i="45"/>
  <c r="U430" i="45"/>
  <c r="U431" i="45"/>
  <c r="U432" i="45"/>
  <c r="U433" i="45"/>
  <c r="U423" i="45"/>
  <c r="U422" i="45"/>
  <c r="U421" i="45"/>
  <c r="U407" i="45"/>
  <c r="U408" i="45"/>
  <c r="U409" i="45"/>
  <c r="U410" i="45"/>
  <c r="U411" i="45"/>
  <c r="U412" i="45"/>
  <c r="U413" i="45"/>
  <c r="U414" i="45"/>
  <c r="U415" i="45"/>
  <c r="U416" i="45"/>
  <c r="U417" i="45"/>
  <c r="U418" i="45"/>
  <c r="U419" i="45"/>
  <c r="U420" i="45"/>
  <c r="U406" i="45"/>
  <c r="U405" i="45"/>
  <c r="U400" i="45"/>
  <c r="U399" i="45"/>
  <c r="U392" i="45"/>
  <c r="U393" i="45"/>
  <c r="U394" i="45"/>
  <c r="U395" i="45"/>
  <c r="U396" i="45"/>
  <c r="U397" i="45"/>
  <c r="U398" i="45"/>
  <c r="U391" i="45"/>
  <c r="U390" i="45"/>
  <c r="U388" i="45"/>
  <c r="U378" i="45"/>
  <c r="U379" i="45"/>
  <c r="U380" i="45"/>
  <c r="U381" i="45"/>
  <c r="U382" i="45"/>
  <c r="U383" i="45"/>
  <c r="U384" i="45"/>
  <c r="U385" i="45"/>
  <c r="U386" i="45"/>
  <c r="U387" i="45"/>
  <c r="U377" i="45"/>
  <c r="U376" i="45"/>
  <c r="U375" i="45"/>
  <c r="U362" i="45"/>
  <c r="U363" i="45"/>
  <c r="U364" i="45"/>
  <c r="U365" i="45"/>
  <c r="U366" i="45"/>
  <c r="U367" i="45"/>
  <c r="U368" i="45"/>
  <c r="U369" i="45"/>
  <c r="U370" i="45"/>
  <c r="U371" i="45"/>
  <c r="U372" i="45"/>
  <c r="U373" i="45"/>
  <c r="U374" i="45"/>
  <c r="U361" i="45"/>
  <c r="U360" i="45"/>
  <c r="U355" i="45"/>
  <c r="U354" i="45"/>
  <c r="U347" i="45"/>
  <c r="U348" i="45"/>
  <c r="U349" i="45"/>
  <c r="U350" i="45"/>
  <c r="U351" i="45"/>
  <c r="U352" i="45"/>
  <c r="U353" i="45"/>
  <c r="U346" i="45"/>
  <c r="U345" i="45"/>
  <c r="U343" i="45"/>
  <c r="U333" i="45"/>
  <c r="U334" i="45"/>
  <c r="U335" i="45"/>
  <c r="U336" i="45"/>
  <c r="U337" i="45"/>
  <c r="U338" i="45"/>
  <c r="U339" i="45"/>
  <c r="U340" i="45"/>
  <c r="U341" i="45"/>
  <c r="U342" i="45"/>
  <c r="U332" i="45"/>
  <c r="U331" i="45"/>
  <c r="U330" i="45"/>
  <c r="U329" i="45"/>
  <c r="U317" i="45"/>
  <c r="U318" i="45"/>
  <c r="U319" i="45"/>
  <c r="U320" i="45"/>
  <c r="U321" i="45"/>
  <c r="U322" i="45"/>
  <c r="U323" i="45"/>
  <c r="U324" i="45"/>
  <c r="U325" i="45"/>
  <c r="U326" i="45"/>
  <c r="U327" i="45"/>
  <c r="U328" i="45"/>
  <c r="U316" i="45"/>
  <c r="U315" i="45"/>
  <c r="U310" i="45"/>
  <c r="U309" i="45"/>
  <c r="U302" i="45"/>
  <c r="U303" i="45"/>
  <c r="U304" i="45"/>
  <c r="U305" i="45"/>
  <c r="U306" i="45"/>
  <c r="U307" i="45"/>
  <c r="U308" i="45"/>
  <c r="U301" i="45"/>
  <c r="U300" i="45"/>
  <c r="U298" i="45"/>
  <c r="U288" i="45"/>
  <c r="U289" i="45"/>
  <c r="U290" i="45"/>
  <c r="U291" i="45"/>
  <c r="U292" i="45"/>
  <c r="U293" i="45"/>
  <c r="U294" i="45"/>
  <c r="U295" i="45"/>
  <c r="U296" i="45"/>
  <c r="U297" i="45"/>
  <c r="U287" i="45"/>
  <c r="U286" i="45"/>
  <c r="U285" i="45"/>
  <c r="U272" i="45"/>
  <c r="U273" i="45"/>
  <c r="U274" i="45"/>
  <c r="U275" i="45"/>
  <c r="U276" i="45"/>
  <c r="U277" i="45"/>
  <c r="U278" i="45"/>
  <c r="U279" i="45"/>
  <c r="U280" i="45"/>
  <c r="U281" i="45"/>
  <c r="U282" i="45"/>
  <c r="U283" i="45"/>
  <c r="U284" i="45"/>
  <c r="U271" i="45"/>
  <c r="U270" i="45"/>
  <c r="U265" i="45"/>
  <c r="U264" i="45"/>
  <c r="U257" i="45"/>
  <c r="U258" i="45"/>
  <c r="U259" i="45"/>
  <c r="U260" i="45"/>
  <c r="U261" i="45"/>
  <c r="U262" i="45"/>
  <c r="U263" i="45"/>
  <c r="U256" i="45"/>
  <c r="U255" i="45"/>
  <c r="U253" i="45"/>
  <c r="U243" i="45"/>
  <c r="U244" i="45"/>
  <c r="U245" i="45"/>
  <c r="U246" i="45"/>
  <c r="U247" i="45"/>
  <c r="U248" i="45"/>
  <c r="U249" i="45"/>
  <c r="U250" i="45"/>
  <c r="U251" i="45"/>
  <c r="U252" i="45"/>
  <c r="U242" i="45"/>
  <c r="U241" i="45"/>
  <c r="U240" i="45"/>
  <c r="U227" i="45"/>
  <c r="U228" i="45"/>
  <c r="U229" i="45"/>
  <c r="U230" i="45"/>
  <c r="U231" i="45"/>
  <c r="U232" i="45"/>
  <c r="U233" i="45"/>
  <c r="U234" i="45"/>
  <c r="U235" i="45"/>
  <c r="U236" i="45"/>
  <c r="U237" i="45"/>
  <c r="U238" i="45"/>
  <c r="U239" i="45"/>
  <c r="U226" i="45"/>
  <c r="U225" i="45"/>
  <c r="U220" i="45"/>
  <c r="U219" i="45"/>
  <c r="U212" i="45"/>
  <c r="U213" i="45"/>
  <c r="U214" i="45"/>
  <c r="U215" i="45"/>
  <c r="U216" i="45"/>
  <c r="U217" i="45"/>
  <c r="U218" i="45"/>
  <c r="U211" i="45"/>
  <c r="U210" i="45"/>
  <c r="U208" i="45"/>
  <c r="U198" i="45"/>
  <c r="U199" i="45"/>
  <c r="U200" i="45"/>
  <c r="U201" i="45"/>
  <c r="U202" i="45"/>
  <c r="U203" i="45"/>
  <c r="U204" i="45"/>
  <c r="U205" i="45"/>
  <c r="U206" i="45"/>
  <c r="U207" i="45"/>
  <c r="U197" i="45"/>
  <c r="U196" i="45"/>
  <c r="U195" i="45"/>
  <c r="U182" i="45"/>
  <c r="U183" i="45"/>
  <c r="U184" i="45"/>
  <c r="U185" i="45"/>
  <c r="U186" i="45"/>
  <c r="U187" i="45"/>
  <c r="U188" i="45"/>
  <c r="U189" i="45"/>
  <c r="U190" i="45"/>
  <c r="U191" i="45"/>
  <c r="U192" i="45"/>
  <c r="U193" i="45"/>
  <c r="U194" i="45"/>
  <c r="U181" i="45"/>
  <c r="U180" i="45"/>
  <c r="U175" i="45"/>
  <c r="U174" i="45"/>
  <c r="U167" i="45"/>
  <c r="U168" i="45"/>
  <c r="U169" i="45"/>
  <c r="U170" i="45"/>
  <c r="U171" i="45"/>
  <c r="U172" i="45"/>
  <c r="U173" i="45"/>
  <c r="U166" i="45"/>
  <c r="U165" i="45"/>
  <c r="U163" i="45"/>
  <c r="U153" i="45"/>
  <c r="U154" i="45"/>
  <c r="U155" i="45"/>
  <c r="U156" i="45"/>
  <c r="U157" i="45"/>
  <c r="U158" i="45"/>
  <c r="U159" i="45"/>
  <c r="U160" i="45"/>
  <c r="U161" i="45"/>
  <c r="U162" i="45"/>
  <c r="U152" i="45"/>
  <c r="U151" i="45"/>
  <c r="U150" i="45"/>
  <c r="U137" i="45"/>
  <c r="U138" i="45"/>
  <c r="U139" i="45"/>
  <c r="U140" i="45"/>
  <c r="U141" i="45"/>
  <c r="U142" i="45"/>
  <c r="U143" i="45"/>
  <c r="U144" i="45"/>
  <c r="U145" i="45"/>
  <c r="U146" i="45"/>
  <c r="U147" i="45"/>
  <c r="U148" i="45"/>
  <c r="U149" i="45"/>
  <c r="U136" i="45"/>
  <c r="U135" i="45"/>
  <c r="U3" i="66" l="1"/>
  <c r="U86" i="64"/>
  <c r="U85" i="64"/>
  <c r="U79" i="64"/>
  <c r="U80" i="64"/>
  <c r="U81" i="64"/>
  <c r="U82" i="64"/>
  <c r="U83" i="64"/>
  <c r="U84" i="64"/>
  <c r="U78" i="64"/>
  <c r="U77" i="64"/>
  <c r="U75" i="64"/>
  <c r="U65" i="64"/>
  <c r="U66" i="64"/>
  <c r="U67" i="64"/>
  <c r="U68" i="64"/>
  <c r="U69" i="64"/>
  <c r="U70" i="64"/>
  <c r="U71" i="64"/>
  <c r="U72" i="64"/>
  <c r="U73" i="64"/>
  <c r="U74" i="64"/>
  <c r="U64" i="64"/>
  <c r="U63" i="64"/>
  <c r="U62" i="64"/>
  <c r="U49" i="64"/>
  <c r="U50" i="64"/>
  <c r="U51" i="64"/>
  <c r="U52" i="64"/>
  <c r="U53" i="64"/>
  <c r="U54" i="64"/>
  <c r="U55" i="64"/>
  <c r="U56" i="64"/>
  <c r="U57" i="64"/>
  <c r="U58" i="64"/>
  <c r="U59" i="64"/>
  <c r="U60" i="64"/>
  <c r="U61" i="64"/>
  <c r="U48" i="64"/>
  <c r="U47" i="64"/>
  <c r="M509" i="42"/>
  <c r="M510" i="42"/>
  <c r="V490" i="44" l="1"/>
  <c r="V491" i="44"/>
  <c r="L390" i="42"/>
  <c r="L520" i="42"/>
  <c r="B29" i="41" l="1"/>
  <c r="C29" i="41"/>
  <c r="E29" i="41"/>
  <c r="M484" i="42"/>
  <c r="M485" i="42"/>
  <c r="M486" i="42"/>
  <c r="M487" i="42"/>
  <c r="M488" i="42"/>
  <c r="M489" i="42"/>
  <c r="M490" i="42"/>
  <c r="M491" i="42"/>
  <c r="M492" i="42"/>
  <c r="M493" i="42"/>
  <c r="M494" i="42"/>
  <c r="M498" i="42"/>
  <c r="M499" i="42"/>
  <c r="M500" i="42"/>
  <c r="M501" i="42"/>
  <c r="M502" i="42"/>
  <c r="M503" i="42"/>
  <c r="M504" i="42"/>
  <c r="M505" i="42"/>
  <c r="M506" i="42"/>
  <c r="M507" i="42"/>
  <c r="M508" i="42"/>
  <c r="M511" i="42"/>
  <c r="M512" i="42"/>
  <c r="M513" i="42"/>
  <c r="M514" i="42"/>
  <c r="M515" i="42"/>
  <c r="M516" i="42"/>
  <c r="M517" i="42"/>
  <c r="M518" i="42"/>
  <c r="M519" i="42"/>
  <c r="B30" i="43"/>
  <c r="C30" i="43"/>
  <c r="E30" i="43"/>
  <c r="V543" i="44" l="1"/>
  <c r="U546" i="44"/>
  <c r="T546" i="44"/>
  <c r="S546" i="44"/>
  <c r="R546" i="44"/>
  <c r="Q546" i="44"/>
  <c r="P546" i="44"/>
  <c r="O546" i="44"/>
  <c r="N546" i="44"/>
  <c r="M546" i="44"/>
  <c r="L546" i="44"/>
  <c r="K546" i="44"/>
  <c r="J546" i="44"/>
  <c r="I546" i="44"/>
  <c r="H546" i="44"/>
  <c r="V545" i="44"/>
  <c r="V544" i="44"/>
  <c r="V542" i="44"/>
  <c r="V541" i="44"/>
  <c r="V540" i="44"/>
  <c r="V539" i="44"/>
  <c r="V538" i="44"/>
  <c r="V537" i="44"/>
  <c r="V536" i="44"/>
  <c r="V535" i="44"/>
  <c r="V534" i="44"/>
  <c r="V533" i="44"/>
  <c r="V532" i="44"/>
  <c r="V530" i="44"/>
  <c r="V529" i="44"/>
  <c r="V528" i="44"/>
  <c r="V527" i="44"/>
  <c r="V526" i="44"/>
  <c r="V525" i="44"/>
  <c r="V524" i="44"/>
  <c r="V523" i="44"/>
  <c r="V522" i="44"/>
  <c r="V521" i="44"/>
  <c r="V520" i="44"/>
  <c r="V519" i="44"/>
  <c r="V518" i="44"/>
  <c r="V517" i="44"/>
  <c r="V516" i="44"/>
  <c r="V515" i="44"/>
  <c r="V514" i="44"/>
  <c r="V513" i="44"/>
  <c r="V512" i="44"/>
  <c r="V511" i="44"/>
  <c r="F510" i="44"/>
  <c r="D30" i="43" s="1"/>
  <c r="V546" i="44" l="1"/>
  <c r="K520" i="42"/>
  <c r="J520" i="42"/>
  <c r="M497" i="42"/>
  <c r="M495" i="42"/>
  <c r="M483" i="42"/>
  <c r="M482" i="42"/>
  <c r="M480" i="42"/>
  <c r="M479" i="42"/>
  <c r="M478" i="42"/>
  <c r="M477" i="42"/>
  <c r="M476" i="42"/>
  <c r="M475" i="42"/>
  <c r="M474" i="42"/>
  <c r="M473" i="42"/>
  <c r="M472" i="42"/>
  <c r="M471" i="42"/>
  <c r="M470" i="42"/>
  <c r="M469" i="42"/>
  <c r="M468" i="42"/>
  <c r="M467" i="42"/>
  <c r="M466" i="42"/>
  <c r="M465" i="42"/>
  <c r="M464" i="42"/>
  <c r="M463" i="42"/>
  <c r="M462" i="42"/>
  <c r="M461" i="42"/>
  <c r="M460" i="42"/>
  <c r="M459" i="42"/>
  <c r="M458" i="42"/>
  <c r="G457" i="42"/>
  <c r="D29" i="41" s="1"/>
  <c r="M520" i="42" l="1"/>
  <c r="M248" i="42" l="1"/>
  <c r="M249" i="42"/>
  <c r="M250" i="42"/>
  <c r="M251" i="42"/>
  <c r="M252" i="42"/>
  <c r="M253" i="42"/>
  <c r="M254" i="42"/>
  <c r="M255" i="42"/>
  <c r="M256" i="42"/>
  <c r="M257" i="42"/>
  <c r="M258" i="42"/>
  <c r="M259" i="42"/>
  <c r="M260" i="42"/>
  <c r="M261" i="42"/>
  <c r="M262" i="42"/>
  <c r="M263" i="42"/>
  <c r="M307" i="42"/>
  <c r="M308" i="42"/>
  <c r="M309" i="42"/>
  <c r="M310" i="42"/>
  <c r="M311" i="42"/>
  <c r="M312" i="42"/>
  <c r="M313" i="42"/>
  <c r="M314" i="42"/>
  <c r="M315" i="42"/>
  <c r="M316" i="42"/>
  <c r="M317" i="42"/>
  <c r="M318" i="42"/>
  <c r="M319" i="42"/>
  <c r="M320" i="42"/>
  <c r="M321" i="42"/>
  <c r="M322" i="42"/>
  <c r="M323" i="42"/>
  <c r="M324" i="42"/>
  <c r="M325" i="42"/>
  <c r="M326" i="42"/>
  <c r="M370" i="42"/>
  <c r="M371" i="42"/>
  <c r="M372" i="42"/>
  <c r="M373" i="42"/>
  <c r="M374" i="42"/>
  <c r="M375" i="42"/>
  <c r="M376" i="42"/>
  <c r="M377" i="42"/>
  <c r="M378" i="42"/>
  <c r="M379" i="42"/>
  <c r="M380" i="42"/>
  <c r="M381" i="42"/>
  <c r="M382" i="42"/>
  <c r="M383" i="42"/>
  <c r="M384" i="42"/>
  <c r="M385" i="42"/>
  <c r="M386" i="42"/>
  <c r="M387" i="42"/>
  <c r="M388" i="42"/>
  <c r="M389" i="42"/>
  <c r="M433" i="42"/>
  <c r="M434" i="42"/>
  <c r="M435" i="42"/>
  <c r="M436" i="42"/>
  <c r="M437" i="42"/>
  <c r="M438" i="42"/>
  <c r="M439" i="42"/>
  <c r="M440" i="42"/>
  <c r="M441" i="42"/>
  <c r="M442" i="42"/>
  <c r="M443" i="42"/>
  <c r="M444" i="42"/>
  <c r="M445" i="42"/>
  <c r="M446" i="42"/>
  <c r="M447" i="42"/>
  <c r="M448" i="42"/>
  <c r="M449" i="42"/>
  <c r="M450" i="42"/>
  <c r="M451" i="42"/>
  <c r="M452" i="42"/>
  <c r="L453" i="42" l="1"/>
  <c r="K453" i="42"/>
  <c r="J453" i="42"/>
  <c r="M432" i="42"/>
  <c r="M430" i="42"/>
  <c r="M427" i="42"/>
  <c r="M426" i="42"/>
  <c r="M425" i="42"/>
  <c r="M424" i="42"/>
  <c r="M421" i="42"/>
  <c r="M420" i="42"/>
  <c r="M419" i="42"/>
  <c r="M418" i="42"/>
  <c r="M416" i="42"/>
  <c r="M415" i="42"/>
  <c r="M414" i="42"/>
  <c r="M413" i="42"/>
  <c r="M412" i="42"/>
  <c r="M411" i="42"/>
  <c r="M410" i="42"/>
  <c r="M409" i="42"/>
  <c r="M408" i="42"/>
  <c r="M407" i="42"/>
  <c r="M406" i="42"/>
  <c r="M405" i="42"/>
  <c r="M404" i="42"/>
  <c r="M403" i="42"/>
  <c r="M402" i="42"/>
  <c r="M401" i="42"/>
  <c r="M400" i="42"/>
  <c r="M399" i="42"/>
  <c r="M398" i="42"/>
  <c r="M397" i="42"/>
  <c r="M396" i="42"/>
  <c r="M395" i="42"/>
  <c r="G394" i="42"/>
  <c r="M453" i="42" l="1"/>
  <c r="T629" i="45"/>
  <c r="S642" i="45" l="1"/>
  <c r="R642" i="45"/>
  <c r="Q642" i="45"/>
  <c r="P642" i="45"/>
  <c r="O642" i="45"/>
  <c r="N642" i="45"/>
  <c r="M642" i="45"/>
  <c r="L642" i="45"/>
  <c r="K642" i="45"/>
  <c r="J642" i="45"/>
  <c r="I642" i="45"/>
  <c r="H642" i="45"/>
  <c r="T641" i="45"/>
  <c r="T640" i="45"/>
  <c r="T639" i="45"/>
  <c r="T638" i="45"/>
  <c r="T637" i="45"/>
  <c r="T636" i="45"/>
  <c r="T635" i="45"/>
  <c r="T634" i="45"/>
  <c r="T633" i="45"/>
  <c r="T632" i="45"/>
  <c r="T630" i="45"/>
  <c r="T628" i="45"/>
  <c r="T627" i="45"/>
  <c r="T626" i="45"/>
  <c r="T625" i="45"/>
  <c r="T624" i="45"/>
  <c r="T623" i="45"/>
  <c r="T622" i="45"/>
  <c r="T621" i="45"/>
  <c r="T620" i="45"/>
  <c r="T619" i="45"/>
  <c r="T618" i="45"/>
  <c r="T617" i="45"/>
  <c r="T616" i="45"/>
  <c r="T615" i="45"/>
  <c r="T614" i="45"/>
  <c r="T613" i="45"/>
  <c r="T612" i="45"/>
  <c r="T611" i="45"/>
  <c r="T610" i="45"/>
  <c r="T609" i="45"/>
  <c r="T608" i="45"/>
  <c r="T607" i="45"/>
  <c r="T606" i="45"/>
  <c r="T605" i="45"/>
  <c r="T604" i="45"/>
  <c r="T603" i="45"/>
  <c r="T602" i="45"/>
  <c r="T601" i="45"/>
  <c r="T600" i="45"/>
  <c r="T599" i="45"/>
  <c r="T598" i="45"/>
  <c r="F597" i="45"/>
  <c r="T642" i="45" l="1"/>
  <c r="R19" i="43"/>
  <c r="R21" i="43"/>
  <c r="R22" i="43"/>
  <c r="R23" i="43"/>
  <c r="R24" i="43"/>
  <c r="R25" i="43"/>
  <c r="R21" i="48"/>
  <c r="R23" i="48"/>
  <c r="R24" i="48"/>
  <c r="R25" i="48"/>
  <c r="R26" i="48"/>
  <c r="R27" i="48"/>
  <c r="R28" i="48"/>
  <c r="R29" i="48"/>
  <c r="B29" i="48" l="1"/>
  <c r="C29" i="48"/>
  <c r="E29" i="48"/>
  <c r="B30" i="48"/>
  <c r="C30" i="48"/>
  <c r="E30" i="48"/>
  <c r="B29" i="43"/>
  <c r="C29" i="43"/>
  <c r="E29" i="43"/>
  <c r="M143" i="42" l="1"/>
  <c r="M144" i="42"/>
  <c r="M145" i="42"/>
  <c r="M146" i="42"/>
  <c r="M147" i="42"/>
  <c r="M148" i="42"/>
  <c r="M149" i="42"/>
  <c r="M150" i="42"/>
  <c r="M151" i="42"/>
  <c r="M152" i="42"/>
  <c r="M153" i="42"/>
  <c r="M154" i="42"/>
  <c r="M155" i="42"/>
  <c r="M156" i="42"/>
  <c r="M157" i="42"/>
  <c r="M196" i="42"/>
  <c r="M197" i="42"/>
  <c r="M198" i="42"/>
  <c r="M199" i="42"/>
  <c r="M200" i="42"/>
  <c r="M201" i="42"/>
  <c r="M202" i="42"/>
  <c r="M203" i="42"/>
  <c r="M204" i="42"/>
  <c r="M205" i="42"/>
  <c r="M206" i="42"/>
  <c r="M207" i="42"/>
  <c r="M208" i="42"/>
  <c r="M209" i="42"/>
  <c r="U506" i="44" l="1"/>
  <c r="T506" i="44"/>
  <c r="S506" i="44"/>
  <c r="R506" i="44"/>
  <c r="Q506" i="44"/>
  <c r="P506" i="44"/>
  <c r="O506" i="44"/>
  <c r="N506" i="44"/>
  <c r="M506" i="44"/>
  <c r="L506" i="44"/>
  <c r="K506" i="44"/>
  <c r="J506" i="44"/>
  <c r="I506" i="44"/>
  <c r="H506" i="44"/>
  <c r="V505" i="44"/>
  <c r="V504" i="44"/>
  <c r="V503" i="44"/>
  <c r="V502" i="44"/>
  <c r="V501" i="44"/>
  <c r="V500" i="44"/>
  <c r="V499" i="44"/>
  <c r="V498" i="44"/>
  <c r="V497" i="44"/>
  <c r="V496" i="44"/>
  <c r="V495" i="44"/>
  <c r="V494" i="44"/>
  <c r="V493" i="44"/>
  <c r="V489" i="44"/>
  <c r="V488" i="44"/>
  <c r="V487" i="44"/>
  <c r="V486" i="44"/>
  <c r="V485" i="44"/>
  <c r="V484" i="44"/>
  <c r="V483" i="44"/>
  <c r="V482" i="44"/>
  <c r="V481" i="44"/>
  <c r="V480" i="44"/>
  <c r="V479" i="44"/>
  <c r="V478" i="44"/>
  <c r="V477" i="44"/>
  <c r="V476" i="44"/>
  <c r="V475" i="44"/>
  <c r="V474" i="44"/>
  <c r="V473" i="44"/>
  <c r="V472" i="44"/>
  <c r="V471" i="44"/>
  <c r="F470" i="44"/>
  <c r="D29" i="43" s="1"/>
  <c r="V506" i="44" l="1"/>
  <c r="S593" i="45"/>
  <c r="R593" i="45"/>
  <c r="Q593" i="45"/>
  <c r="P593" i="45"/>
  <c r="O593" i="45"/>
  <c r="N593" i="45"/>
  <c r="M593" i="45"/>
  <c r="L593" i="45"/>
  <c r="K593" i="45"/>
  <c r="J593" i="45"/>
  <c r="I593" i="45"/>
  <c r="H593" i="45"/>
  <c r="T592" i="45"/>
  <c r="T591" i="45"/>
  <c r="T590" i="45"/>
  <c r="T589" i="45"/>
  <c r="T588" i="45"/>
  <c r="T587" i="45"/>
  <c r="T586" i="45"/>
  <c r="T585" i="45"/>
  <c r="T584" i="45"/>
  <c r="T583" i="45"/>
  <c r="T581" i="45"/>
  <c r="T580" i="45"/>
  <c r="T579" i="45"/>
  <c r="T578" i="45"/>
  <c r="T577" i="45"/>
  <c r="T576" i="45"/>
  <c r="T575" i="45"/>
  <c r="T574" i="45"/>
  <c r="T573" i="45"/>
  <c r="T572" i="45"/>
  <c r="T571" i="45"/>
  <c r="T570" i="45"/>
  <c r="T569" i="45"/>
  <c r="T568" i="45"/>
  <c r="T567" i="45"/>
  <c r="T566" i="45"/>
  <c r="T565" i="45"/>
  <c r="T564" i="45"/>
  <c r="T563" i="45"/>
  <c r="T562" i="45"/>
  <c r="T561" i="45"/>
  <c r="T560" i="45"/>
  <c r="T559" i="45"/>
  <c r="T558" i="45"/>
  <c r="T557" i="45"/>
  <c r="T556" i="45"/>
  <c r="T555" i="45"/>
  <c r="T554" i="45"/>
  <c r="T553" i="45"/>
  <c r="T552" i="45"/>
  <c r="T551" i="45"/>
  <c r="T550" i="45"/>
  <c r="T549" i="45"/>
  <c r="F548" i="45"/>
  <c r="D30" i="48" s="1"/>
  <c r="T593" i="45" l="1"/>
  <c r="S544" i="45"/>
  <c r="R544" i="45"/>
  <c r="Q544" i="45"/>
  <c r="P544" i="45"/>
  <c r="O544" i="45"/>
  <c r="N544" i="45"/>
  <c r="M544" i="45"/>
  <c r="L544" i="45"/>
  <c r="K544" i="45"/>
  <c r="J544" i="45"/>
  <c r="I544" i="45"/>
  <c r="H544" i="45"/>
  <c r="T543" i="45"/>
  <c r="T542" i="45"/>
  <c r="T541" i="45"/>
  <c r="T540" i="45"/>
  <c r="T539" i="45"/>
  <c r="T538" i="45"/>
  <c r="T537" i="45"/>
  <c r="T536" i="45"/>
  <c r="T535" i="45"/>
  <c r="T534" i="45"/>
  <c r="T532" i="45"/>
  <c r="T531" i="45"/>
  <c r="T530" i="45"/>
  <c r="T529" i="45"/>
  <c r="T528" i="45"/>
  <c r="T527" i="45"/>
  <c r="T526" i="45"/>
  <c r="T525" i="45"/>
  <c r="T524" i="45"/>
  <c r="T523" i="45"/>
  <c r="T522" i="45"/>
  <c r="T521" i="45"/>
  <c r="T520" i="45"/>
  <c r="T519" i="45"/>
  <c r="T518" i="45"/>
  <c r="T517" i="45"/>
  <c r="T516" i="45"/>
  <c r="T515" i="45"/>
  <c r="T514" i="45"/>
  <c r="T513" i="45"/>
  <c r="T512" i="45"/>
  <c r="T511" i="45"/>
  <c r="T510" i="45"/>
  <c r="T509" i="45"/>
  <c r="T508" i="45"/>
  <c r="T507" i="45"/>
  <c r="T506" i="45"/>
  <c r="T505" i="45"/>
  <c r="T504" i="45"/>
  <c r="T503" i="45"/>
  <c r="T502" i="45"/>
  <c r="T501" i="45"/>
  <c r="T500" i="45"/>
  <c r="F499" i="45"/>
  <c r="D29" i="48" s="1"/>
  <c r="T544" i="45" l="1"/>
  <c r="R18" i="41"/>
  <c r="R20" i="41"/>
  <c r="R21" i="41"/>
  <c r="R21" i="50"/>
  <c r="R23" i="50"/>
  <c r="R24" i="50"/>
  <c r="R25" i="50"/>
  <c r="R26" i="50"/>
  <c r="R27" i="50"/>
  <c r="R28" i="50"/>
  <c r="R29" i="50"/>
  <c r="R14" i="61"/>
  <c r="R19" i="61"/>
  <c r="R23" i="61"/>
  <c r="R25" i="61"/>
  <c r="R26" i="61"/>
  <c r="R27" i="61"/>
  <c r="R28" i="61"/>
  <c r="R29" i="61"/>
  <c r="R30" i="61"/>
  <c r="R17" i="60"/>
  <c r="R22" i="60"/>
  <c r="R24" i="60"/>
  <c r="R25" i="60"/>
  <c r="R26" i="60"/>
  <c r="R27" i="60"/>
  <c r="R28" i="60"/>
  <c r="R29" i="60"/>
  <c r="R30" i="60"/>
  <c r="R19" i="59"/>
  <c r="R20" i="59"/>
  <c r="R24" i="59"/>
  <c r="R26" i="59"/>
  <c r="R27" i="59"/>
  <c r="R28" i="59"/>
  <c r="R29" i="59"/>
  <c r="R30" i="59"/>
  <c r="R19" i="63"/>
  <c r="R20" i="63"/>
  <c r="R23" i="63"/>
  <c r="R27" i="63"/>
  <c r="R28" i="63"/>
  <c r="R29" i="63"/>
  <c r="R11" i="63"/>
  <c r="R6" i="63"/>
  <c r="R5" i="63"/>
  <c r="E23" i="63"/>
  <c r="E24" i="63"/>
  <c r="E25" i="63"/>
  <c r="E26" i="63"/>
  <c r="E27" i="63"/>
  <c r="E28" i="63"/>
  <c r="D24" i="63"/>
  <c r="D25" i="63"/>
  <c r="D26" i="63"/>
  <c r="D27" i="63"/>
  <c r="D28" i="63"/>
  <c r="C23" i="63"/>
  <c r="C24" i="63"/>
  <c r="C25" i="63"/>
  <c r="C26" i="63"/>
  <c r="C27" i="63"/>
  <c r="C28" i="63"/>
  <c r="B23" i="63"/>
  <c r="B24" i="63"/>
  <c r="B25" i="63"/>
  <c r="B26" i="63"/>
  <c r="B27" i="63"/>
  <c r="B28" i="63"/>
  <c r="S42" i="66"/>
  <c r="R42" i="66"/>
  <c r="Q42" i="66"/>
  <c r="P42" i="66"/>
  <c r="O42" i="66"/>
  <c r="N42" i="66"/>
  <c r="M42" i="66"/>
  <c r="L42" i="66"/>
  <c r="K42" i="66"/>
  <c r="J42" i="66"/>
  <c r="I42" i="66"/>
  <c r="H42" i="66"/>
  <c r="T41" i="66"/>
  <c r="U41" i="66" s="1"/>
  <c r="T40" i="66"/>
  <c r="U40" i="66" s="1"/>
  <c r="T39" i="66"/>
  <c r="U39" i="66" s="1"/>
  <c r="T38" i="66"/>
  <c r="U38" i="66" s="1"/>
  <c r="T37" i="66"/>
  <c r="U37" i="66" s="1"/>
  <c r="T36" i="66"/>
  <c r="U36" i="66" s="1"/>
  <c r="U35" i="66"/>
  <c r="T34" i="66"/>
  <c r="U34" i="66" s="1"/>
  <c r="T33" i="66"/>
  <c r="U33" i="66" s="1"/>
  <c r="T31" i="66"/>
  <c r="U31" i="66" s="1"/>
  <c r="T30" i="66"/>
  <c r="U30" i="66" s="1"/>
  <c r="U29" i="66"/>
  <c r="T29" i="66"/>
  <c r="T28" i="66"/>
  <c r="U28" i="66" s="1"/>
  <c r="T27" i="66"/>
  <c r="U27" i="66" s="1"/>
  <c r="T26" i="66"/>
  <c r="U26" i="66" s="1"/>
  <c r="T25" i="66"/>
  <c r="U25" i="66" s="1"/>
  <c r="T24" i="66"/>
  <c r="U24" i="66" s="1"/>
  <c r="T23" i="66"/>
  <c r="U23" i="66" s="1"/>
  <c r="T22" i="66"/>
  <c r="U22" i="66" s="1"/>
  <c r="T21" i="66"/>
  <c r="U21" i="66" s="1"/>
  <c r="U20" i="66"/>
  <c r="T20" i="66"/>
  <c r="T19" i="66"/>
  <c r="U19" i="66" s="1"/>
  <c r="T18" i="66"/>
  <c r="U18" i="66" s="1"/>
  <c r="T17" i="66"/>
  <c r="U17" i="66" s="1"/>
  <c r="T16" i="66"/>
  <c r="U16" i="66" s="1"/>
  <c r="T15" i="66"/>
  <c r="U15" i="66" s="1"/>
  <c r="T14" i="66"/>
  <c r="U14" i="66" s="1"/>
  <c r="T13" i="66"/>
  <c r="U13" i="66" s="1"/>
  <c r="T12" i="66"/>
  <c r="U12" i="66" s="1"/>
  <c r="U11" i="66"/>
  <c r="T11" i="66"/>
  <c r="T10" i="66"/>
  <c r="U10" i="66" s="1"/>
  <c r="T9" i="66"/>
  <c r="U9" i="66" s="1"/>
  <c r="T8" i="66"/>
  <c r="U8" i="66" s="1"/>
  <c r="T7" i="66"/>
  <c r="U7" i="66" s="1"/>
  <c r="T6" i="66"/>
  <c r="U6" i="66" s="1"/>
  <c r="T5" i="66"/>
  <c r="U5" i="66" s="1"/>
  <c r="T4" i="66"/>
  <c r="U4" i="66" s="1"/>
  <c r="T3" i="66"/>
  <c r="F2" i="66"/>
  <c r="D23" i="63" s="1"/>
  <c r="R16" i="37"/>
  <c r="R7" i="37"/>
  <c r="R15" i="37"/>
  <c r="R23" i="37"/>
  <c r="R26" i="37"/>
  <c r="R27" i="37"/>
  <c r="R28" i="37"/>
  <c r="R29" i="37"/>
  <c r="S42" i="64"/>
  <c r="R42" i="64"/>
  <c r="Q42" i="64"/>
  <c r="P42" i="64"/>
  <c r="O42" i="64"/>
  <c r="N42" i="64"/>
  <c r="M42" i="64"/>
  <c r="L42" i="64"/>
  <c r="K42" i="64"/>
  <c r="J42" i="64"/>
  <c r="I42" i="64"/>
  <c r="H42" i="64"/>
  <c r="T41" i="64"/>
  <c r="U41" i="64" s="1"/>
  <c r="T40" i="64"/>
  <c r="U40" i="64" s="1"/>
  <c r="T39" i="64"/>
  <c r="U39" i="64" s="1"/>
  <c r="T38" i="64"/>
  <c r="U38" i="64" s="1"/>
  <c r="T37" i="64"/>
  <c r="U37" i="64" s="1"/>
  <c r="T36" i="64"/>
  <c r="U36" i="64" s="1"/>
  <c r="U35" i="64"/>
  <c r="T34" i="64"/>
  <c r="U34" i="64" s="1"/>
  <c r="T33" i="64"/>
  <c r="U33" i="64" s="1"/>
  <c r="T31" i="64"/>
  <c r="U31" i="64" s="1"/>
  <c r="T30" i="64"/>
  <c r="U30" i="64" s="1"/>
  <c r="T29" i="64"/>
  <c r="U29" i="64" s="1"/>
  <c r="T28" i="64"/>
  <c r="U28" i="64" s="1"/>
  <c r="T27" i="64"/>
  <c r="U27" i="64" s="1"/>
  <c r="T26" i="64"/>
  <c r="U26" i="64" s="1"/>
  <c r="T25" i="64"/>
  <c r="U25" i="64" s="1"/>
  <c r="T24" i="64"/>
  <c r="U24" i="64" s="1"/>
  <c r="T23" i="64"/>
  <c r="U23" i="64" s="1"/>
  <c r="T22" i="64"/>
  <c r="U22" i="64" s="1"/>
  <c r="T21" i="64"/>
  <c r="U21" i="64" s="1"/>
  <c r="T20" i="64"/>
  <c r="U20" i="64" s="1"/>
  <c r="T19" i="64"/>
  <c r="U19" i="64" s="1"/>
  <c r="T18" i="64"/>
  <c r="U18" i="64" s="1"/>
  <c r="T17" i="64"/>
  <c r="U17" i="64" s="1"/>
  <c r="T16" i="64"/>
  <c r="U16" i="64" s="1"/>
  <c r="T15" i="64"/>
  <c r="U15" i="64" s="1"/>
  <c r="T14" i="64"/>
  <c r="U14" i="64" s="1"/>
  <c r="T13" i="64"/>
  <c r="U13" i="64" s="1"/>
  <c r="T12" i="64"/>
  <c r="U12" i="64" s="1"/>
  <c r="T11" i="64"/>
  <c r="U11" i="64" s="1"/>
  <c r="T10" i="64"/>
  <c r="U10" i="64" s="1"/>
  <c r="T9" i="64"/>
  <c r="U9" i="64" s="1"/>
  <c r="T8" i="64"/>
  <c r="U8" i="64" s="1"/>
  <c r="T7" i="64"/>
  <c r="U7" i="64" s="1"/>
  <c r="T6" i="64"/>
  <c r="U6" i="64" s="1"/>
  <c r="T5" i="64"/>
  <c r="U5" i="64" s="1"/>
  <c r="T4" i="64"/>
  <c r="U4" i="64" s="1"/>
  <c r="T3" i="64"/>
  <c r="U3" i="64" s="1"/>
  <c r="F2" i="64"/>
  <c r="S86" i="64"/>
  <c r="R86" i="64"/>
  <c r="Q86" i="64"/>
  <c r="P86" i="64"/>
  <c r="O86" i="64"/>
  <c r="N86" i="64"/>
  <c r="M86" i="64"/>
  <c r="L86" i="64"/>
  <c r="K86" i="64"/>
  <c r="J86" i="64"/>
  <c r="I86" i="64"/>
  <c r="H86" i="64"/>
  <c r="T85" i="64"/>
  <c r="T84" i="64"/>
  <c r="T83" i="64"/>
  <c r="T82" i="64"/>
  <c r="T81" i="64"/>
  <c r="T80" i="64"/>
  <c r="T78" i="64"/>
  <c r="T77" i="64"/>
  <c r="T75" i="64"/>
  <c r="T74" i="64"/>
  <c r="T73" i="64"/>
  <c r="T72" i="64"/>
  <c r="T71" i="64"/>
  <c r="T70" i="64"/>
  <c r="T69" i="64"/>
  <c r="T68" i="64"/>
  <c r="T67" i="64"/>
  <c r="T66" i="64"/>
  <c r="T65" i="64"/>
  <c r="T64" i="64"/>
  <c r="T63" i="64"/>
  <c r="T62" i="64"/>
  <c r="T61" i="64"/>
  <c r="T60" i="64"/>
  <c r="T59" i="64"/>
  <c r="T58" i="64"/>
  <c r="T57" i="64"/>
  <c r="T56" i="64"/>
  <c r="T55" i="64"/>
  <c r="T54" i="64"/>
  <c r="T53" i="64"/>
  <c r="T52" i="64"/>
  <c r="T51" i="64"/>
  <c r="T50" i="64"/>
  <c r="T49" i="64"/>
  <c r="T48" i="64"/>
  <c r="T47" i="64"/>
  <c r="F46" i="64"/>
  <c r="E23" i="37"/>
  <c r="R5" i="37" l="1"/>
  <c r="R22" i="37"/>
  <c r="R14" i="37"/>
  <c r="R10" i="37"/>
  <c r="R6" i="37"/>
  <c r="R30" i="37"/>
  <c r="R9" i="63"/>
  <c r="R18" i="63"/>
  <c r="R14" i="63"/>
  <c r="R10" i="63"/>
  <c r="R26" i="63"/>
  <c r="R22" i="63"/>
  <c r="R25" i="37"/>
  <c r="R21" i="37"/>
  <c r="R13" i="37"/>
  <c r="R9" i="37"/>
  <c r="R18" i="37"/>
  <c r="R8" i="63"/>
  <c r="R17" i="63"/>
  <c r="R13" i="63"/>
  <c r="R25" i="63"/>
  <c r="R21" i="63"/>
  <c r="R11" i="37"/>
  <c r="R15" i="63"/>
  <c r="R24" i="37"/>
  <c r="R19" i="37"/>
  <c r="R12" i="37"/>
  <c r="R8" i="37"/>
  <c r="R17" i="37"/>
  <c r="R7" i="63"/>
  <c r="R16" i="63"/>
  <c r="R12" i="63"/>
  <c r="R24" i="63"/>
  <c r="T42" i="66"/>
  <c r="U42" i="66" s="1"/>
  <c r="R20" i="37"/>
  <c r="T42" i="64"/>
  <c r="U42" i="64" s="1"/>
  <c r="T86" i="64"/>
  <c r="S133" i="47"/>
  <c r="R133" i="47"/>
  <c r="Q133" i="47"/>
  <c r="P133" i="47"/>
  <c r="O133" i="47"/>
  <c r="N133" i="47"/>
  <c r="M133" i="47"/>
  <c r="L133" i="47"/>
  <c r="K133" i="47"/>
  <c r="J133" i="47"/>
  <c r="I133" i="47"/>
  <c r="H133" i="47"/>
  <c r="T132" i="47"/>
  <c r="T131" i="47"/>
  <c r="T130" i="47"/>
  <c r="T129" i="47"/>
  <c r="T128" i="47"/>
  <c r="T127" i="47"/>
  <c r="T126" i="47"/>
  <c r="T125" i="47"/>
  <c r="T123" i="47"/>
  <c r="T122" i="47"/>
  <c r="T121" i="47"/>
  <c r="T120" i="47"/>
  <c r="T119" i="47"/>
  <c r="T118" i="47"/>
  <c r="T117" i="47"/>
  <c r="T116" i="47"/>
  <c r="T115" i="47"/>
  <c r="T114" i="47"/>
  <c r="T113" i="47"/>
  <c r="T112" i="47"/>
  <c r="T111" i="47"/>
  <c r="T110" i="47"/>
  <c r="T109" i="47"/>
  <c r="T108" i="47"/>
  <c r="T107" i="47"/>
  <c r="T106" i="47"/>
  <c r="T105" i="47"/>
  <c r="T104" i="47"/>
  <c r="T103" i="47"/>
  <c r="T102" i="47"/>
  <c r="T101" i="47"/>
  <c r="T100" i="47"/>
  <c r="T99" i="47"/>
  <c r="T98" i="47"/>
  <c r="T97" i="47"/>
  <c r="T96" i="47"/>
  <c r="T95" i="47"/>
  <c r="T94" i="47"/>
  <c r="T93" i="47"/>
  <c r="F92" i="47"/>
  <c r="T133" i="47" l="1"/>
  <c r="F431" i="44"/>
  <c r="U466" i="44" l="1"/>
  <c r="T466" i="44"/>
  <c r="S466" i="44"/>
  <c r="R466" i="44"/>
  <c r="Q466" i="44"/>
  <c r="P466" i="44"/>
  <c r="O466" i="44"/>
  <c r="N466" i="44"/>
  <c r="M466" i="44"/>
  <c r="L466" i="44"/>
  <c r="K466" i="44"/>
  <c r="J466" i="44"/>
  <c r="I466" i="44"/>
  <c r="H466" i="44"/>
  <c r="V465" i="44"/>
  <c r="V464" i="44"/>
  <c r="V463" i="44"/>
  <c r="V462" i="44"/>
  <c r="V461" i="44"/>
  <c r="V460" i="44"/>
  <c r="V459" i="44"/>
  <c r="V458" i="44"/>
  <c r="V457" i="44"/>
  <c r="V456" i="44"/>
  <c r="V455" i="44"/>
  <c r="V454" i="44"/>
  <c r="V453" i="44"/>
  <c r="V451" i="44"/>
  <c r="V450" i="44"/>
  <c r="V449" i="44"/>
  <c r="V448" i="44"/>
  <c r="V447" i="44"/>
  <c r="V446" i="44"/>
  <c r="V445" i="44"/>
  <c r="V444" i="44"/>
  <c r="V443" i="44"/>
  <c r="V442" i="44"/>
  <c r="V441" i="44"/>
  <c r="V440" i="44"/>
  <c r="V439" i="44"/>
  <c r="V438" i="44"/>
  <c r="V437" i="44"/>
  <c r="V436" i="44"/>
  <c r="V435" i="44"/>
  <c r="V434" i="44"/>
  <c r="V433" i="44"/>
  <c r="V432" i="44"/>
  <c r="V466" i="44" l="1"/>
  <c r="K390" i="42"/>
  <c r="J390" i="42"/>
  <c r="M369" i="42"/>
  <c r="N367" i="42"/>
  <c r="M367" i="42"/>
  <c r="M364" i="42"/>
  <c r="M363" i="42"/>
  <c r="M362" i="42"/>
  <c r="M361" i="42"/>
  <c r="M358" i="42"/>
  <c r="M357" i="42"/>
  <c r="M356" i="42"/>
  <c r="M355" i="42"/>
  <c r="M353" i="42"/>
  <c r="M352" i="42"/>
  <c r="M351" i="42"/>
  <c r="M350" i="42"/>
  <c r="M349" i="42"/>
  <c r="M348" i="42"/>
  <c r="M347" i="42"/>
  <c r="M346" i="42"/>
  <c r="M345" i="42"/>
  <c r="M344" i="42"/>
  <c r="M343" i="42"/>
  <c r="M342" i="42"/>
  <c r="M341" i="42"/>
  <c r="M340" i="42"/>
  <c r="M339" i="42"/>
  <c r="M338" i="42"/>
  <c r="M337" i="42"/>
  <c r="M336" i="42"/>
  <c r="M335" i="42"/>
  <c r="M334" i="42"/>
  <c r="M333" i="42"/>
  <c r="M332" i="42"/>
  <c r="G331" i="42"/>
  <c r="M390" i="42" l="1"/>
  <c r="U427" i="44"/>
  <c r="T427" i="44"/>
  <c r="S427" i="44"/>
  <c r="R427" i="44"/>
  <c r="Q427" i="44"/>
  <c r="P427" i="44"/>
  <c r="O427" i="44"/>
  <c r="N427" i="44"/>
  <c r="M427" i="44"/>
  <c r="L427" i="44"/>
  <c r="K427" i="44"/>
  <c r="J427" i="44"/>
  <c r="I427" i="44"/>
  <c r="H427" i="44"/>
  <c r="V426" i="44"/>
  <c r="V425" i="44"/>
  <c r="V424" i="44"/>
  <c r="V423" i="44"/>
  <c r="V422" i="44"/>
  <c r="V421" i="44"/>
  <c r="V420" i="44"/>
  <c r="V419" i="44"/>
  <c r="V418" i="44"/>
  <c r="V417" i="44"/>
  <c r="V416" i="44"/>
  <c r="V415" i="44"/>
  <c r="V414" i="44"/>
  <c r="V412" i="44"/>
  <c r="V411" i="44"/>
  <c r="R10" i="43" s="1"/>
  <c r="V410" i="44"/>
  <c r="V409" i="44"/>
  <c r="V408" i="44"/>
  <c r="V407" i="44"/>
  <c r="V406" i="44"/>
  <c r="V405" i="44"/>
  <c r="V404" i="44"/>
  <c r="V403" i="44"/>
  <c r="R12" i="43" s="1"/>
  <c r="V402" i="44"/>
  <c r="V401" i="44"/>
  <c r="V400" i="44"/>
  <c r="V399" i="44"/>
  <c r="V398" i="44"/>
  <c r="R7" i="43" s="1"/>
  <c r="V397" i="44"/>
  <c r="R9" i="43" s="1"/>
  <c r="V396" i="44"/>
  <c r="V395" i="44"/>
  <c r="V394" i="44"/>
  <c r="V393" i="44"/>
  <c r="F392" i="44"/>
  <c r="R18" i="43" l="1"/>
  <c r="R8" i="43"/>
  <c r="R14" i="43"/>
  <c r="R15" i="43"/>
  <c r="R17" i="43"/>
  <c r="R16" i="43"/>
  <c r="R6" i="43"/>
  <c r="R13" i="43"/>
  <c r="R11" i="43"/>
  <c r="R5" i="43"/>
  <c r="R20" i="43"/>
  <c r="V427" i="44"/>
  <c r="T465" i="45"/>
  <c r="T482" i="45"/>
  <c r="T480" i="45"/>
  <c r="S495" i="45"/>
  <c r="R495" i="45"/>
  <c r="Q495" i="45"/>
  <c r="P495" i="45"/>
  <c r="O495" i="45"/>
  <c r="N495" i="45"/>
  <c r="M495" i="45"/>
  <c r="L495" i="45"/>
  <c r="K495" i="45"/>
  <c r="J495" i="45"/>
  <c r="I495" i="45"/>
  <c r="H495" i="45"/>
  <c r="T494" i="45"/>
  <c r="T493" i="45"/>
  <c r="T492" i="45"/>
  <c r="T491" i="45"/>
  <c r="T490" i="45"/>
  <c r="T489" i="45"/>
  <c r="T488" i="45"/>
  <c r="T487" i="45"/>
  <c r="T486" i="45"/>
  <c r="T485" i="45"/>
  <c r="T483" i="45"/>
  <c r="T481" i="45"/>
  <c r="T479" i="45"/>
  <c r="T478" i="45"/>
  <c r="T477" i="45"/>
  <c r="T476" i="45"/>
  <c r="T475" i="45"/>
  <c r="R19" i="48" s="1"/>
  <c r="T474" i="45"/>
  <c r="T473" i="45"/>
  <c r="R11" i="48" s="1"/>
  <c r="T472" i="45"/>
  <c r="R16" i="48" s="1"/>
  <c r="T471" i="45"/>
  <c r="R14" i="48" s="1"/>
  <c r="T470" i="45"/>
  <c r="T469" i="45"/>
  <c r="R20" i="48" s="1"/>
  <c r="T468" i="45"/>
  <c r="T467" i="45"/>
  <c r="T466" i="45"/>
  <c r="T464" i="45"/>
  <c r="T463" i="45"/>
  <c r="T462" i="45"/>
  <c r="R7" i="48" s="1"/>
  <c r="T461" i="45"/>
  <c r="R9" i="48" s="1"/>
  <c r="T460" i="45"/>
  <c r="R13" i="48" s="1"/>
  <c r="T459" i="45"/>
  <c r="T458" i="45"/>
  <c r="T457" i="45"/>
  <c r="R22" i="48" s="1"/>
  <c r="T456" i="45"/>
  <c r="R6" i="48" s="1"/>
  <c r="T455" i="45"/>
  <c r="R15" i="48" s="1"/>
  <c r="T454" i="45"/>
  <c r="R5" i="48" s="1"/>
  <c r="T453" i="45"/>
  <c r="R8" i="48" s="1"/>
  <c r="T452" i="45"/>
  <c r="R12" i="48" s="1"/>
  <c r="T451" i="45"/>
  <c r="F450" i="45"/>
  <c r="R17" i="48" l="1"/>
  <c r="R10" i="48"/>
  <c r="R18" i="48"/>
  <c r="T495" i="45"/>
  <c r="M274" i="42"/>
  <c r="M295" i="42" l="1"/>
  <c r="M293" i="42"/>
  <c r="L327" i="42" l="1"/>
  <c r="K327" i="42"/>
  <c r="J327" i="42"/>
  <c r="M306" i="42"/>
  <c r="M304" i="42"/>
  <c r="M301" i="42"/>
  <c r="M300" i="42"/>
  <c r="M299" i="42"/>
  <c r="M298" i="42"/>
  <c r="M294" i="42"/>
  <c r="M292" i="42"/>
  <c r="M290" i="42"/>
  <c r="M289" i="42"/>
  <c r="M288" i="42"/>
  <c r="M287" i="42"/>
  <c r="M286" i="42"/>
  <c r="M285" i="42"/>
  <c r="M284" i="42"/>
  <c r="M283" i="42"/>
  <c r="M282" i="42"/>
  <c r="M281" i="42"/>
  <c r="M280" i="42"/>
  <c r="M279" i="42"/>
  <c r="M278" i="42"/>
  <c r="M277" i="42"/>
  <c r="M276" i="42"/>
  <c r="M275" i="42"/>
  <c r="M273" i="42"/>
  <c r="M272" i="42"/>
  <c r="M271" i="42"/>
  <c r="M270" i="42"/>
  <c r="M269" i="42"/>
  <c r="G268" i="42"/>
  <c r="M327" i="42" l="1"/>
  <c r="B23" i="37"/>
  <c r="C23" i="37"/>
  <c r="B24" i="37"/>
  <c r="B25" i="37"/>
  <c r="B26" i="37"/>
  <c r="B27" i="37"/>
  <c r="B28" i="37"/>
  <c r="U388" i="44" l="1"/>
  <c r="T388" i="44"/>
  <c r="S388" i="44"/>
  <c r="R388" i="44"/>
  <c r="Q388" i="44"/>
  <c r="P388" i="44"/>
  <c r="O388" i="44"/>
  <c r="N388" i="44"/>
  <c r="M388" i="44"/>
  <c r="L388" i="44"/>
  <c r="K388" i="44"/>
  <c r="J388" i="44"/>
  <c r="I388" i="44"/>
  <c r="H388" i="44"/>
  <c r="V387" i="44"/>
  <c r="V386" i="44"/>
  <c r="V385" i="44"/>
  <c r="V384" i="44"/>
  <c r="V383" i="44"/>
  <c r="V382" i="44"/>
  <c r="V381" i="44"/>
  <c r="V380" i="44"/>
  <c r="V379" i="44"/>
  <c r="V378" i="44"/>
  <c r="V377" i="44"/>
  <c r="V376" i="44"/>
  <c r="V375" i="44"/>
  <c r="V373" i="44"/>
  <c r="V372" i="44"/>
  <c r="V371" i="44"/>
  <c r="V370" i="44"/>
  <c r="V369" i="44"/>
  <c r="V368" i="44"/>
  <c r="V367" i="44"/>
  <c r="V366" i="44"/>
  <c r="V365" i="44"/>
  <c r="V364" i="44"/>
  <c r="V363" i="44"/>
  <c r="V362" i="44"/>
  <c r="V361" i="44"/>
  <c r="V360" i="44"/>
  <c r="V359" i="44"/>
  <c r="V358" i="44"/>
  <c r="V357" i="44"/>
  <c r="V356" i="44"/>
  <c r="V355" i="44"/>
  <c r="V354" i="44"/>
  <c r="F353" i="44"/>
  <c r="V388" i="44" l="1"/>
  <c r="E25" i="37"/>
  <c r="E26" i="37"/>
  <c r="E27" i="37"/>
  <c r="E28" i="37"/>
  <c r="D25" i="37"/>
  <c r="D26" i="37"/>
  <c r="D27" i="37"/>
  <c r="D28" i="37"/>
  <c r="C25" i="37"/>
  <c r="C26" i="37"/>
  <c r="C27" i="37"/>
  <c r="C28" i="37"/>
  <c r="E24" i="37"/>
  <c r="D24" i="37"/>
  <c r="C24" i="37"/>
  <c r="D23" i="37" l="1"/>
  <c r="D29" i="37" s="1"/>
  <c r="T420" i="45" l="1"/>
  <c r="S446" i="45" l="1"/>
  <c r="R446" i="45"/>
  <c r="Q446" i="45"/>
  <c r="P446" i="45"/>
  <c r="O446" i="45"/>
  <c r="N446" i="45"/>
  <c r="M446" i="45"/>
  <c r="L446" i="45"/>
  <c r="K446" i="45"/>
  <c r="J446" i="45"/>
  <c r="I446" i="45"/>
  <c r="H446" i="45"/>
  <c r="T445" i="45"/>
  <c r="T444" i="45"/>
  <c r="T443" i="45"/>
  <c r="T442" i="45"/>
  <c r="T441" i="45"/>
  <c r="T440" i="45"/>
  <c r="T439" i="45"/>
  <c r="T438" i="45"/>
  <c r="T437" i="45"/>
  <c r="T436" i="45"/>
  <c r="T434" i="45"/>
  <c r="T433" i="45"/>
  <c r="T432" i="45"/>
  <c r="T431" i="45"/>
  <c r="T430" i="45"/>
  <c r="T429" i="45"/>
  <c r="T428" i="45"/>
  <c r="T427" i="45"/>
  <c r="T426" i="45"/>
  <c r="T425" i="45"/>
  <c r="T424" i="45"/>
  <c r="T423" i="45"/>
  <c r="T422" i="45"/>
  <c r="T421" i="45"/>
  <c r="T419" i="45"/>
  <c r="T418" i="45"/>
  <c r="T417" i="45"/>
  <c r="T416" i="45"/>
  <c r="T415" i="45"/>
  <c r="T414" i="45"/>
  <c r="T413" i="45"/>
  <c r="T412" i="45"/>
  <c r="T411" i="45"/>
  <c r="T410" i="45"/>
  <c r="T409" i="45"/>
  <c r="T408" i="45"/>
  <c r="T407" i="45"/>
  <c r="T406" i="45"/>
  <c r="T405" i="45"/>
  <c r="F404" i="45"/>
  <c r="T446" i="45" l="1"/>
  <c r="L264" i="42" l="1"/>
  <c r="K264" i="42"/>
  <c r="J264" i="42"/>
  <c r="M247" i="42"/>
  <c r="M245" i="42"/>
  <c r="M244" i="42"/>
  <c r="M243" i="42"/>
  <c r="M242" i="42"/>
  <c r="M241" i="42"/>
  <c r="M240" i="42"/>
  <c r="M239" i="42"/>
  <c r="M238" i="42"/>
  <c r="M237" i="42"/>
  <c r="M235" i="42"/>
  <c r="M234" i="42"/>
  <c r="M233" i="42"/>
  <c r="R14" i="41" s="1"/>
  <c r="M232" i="42"/>
  <c r="M231" i="42"/>
  <c r="M230" i="42"/>
  <c r="M229" i="42"/>
  <c r="M228" i="42"/>
  <c r="M227" i="42"/>
  <c r="M226" i="42"/>
  <c r="M225" i="42"/>
  <c r="M224" i="42"/>
  <c r="M223" i="42"/>
  <c r="M222" i="42"/>
  <c r="M221" i="42"/>
  <c r="M220" i="42"/>
  <c r="M219" i="42"/>
  <c r="M218" i="42"/>
  <c r="M217" i="42"/>
  <c r="M216" i="42"/>
  <c r="M215" i="42"/>
  <c r="G214" i="42"/>
  <c r="R15" i="41" l="1"/>
  <c r="R13" i="41"/>
  <c r="R7" i="41"/>
  <c r="R12" i="41"/>
  <c r="R6" i="41"/>
  <c r="R5" i="41"/>
  <c r="R16" i="41"/>
  <c r="R8" i="41"/>
  <c r="R10" i="41"/>
  <c r="R11" i="41"/>
  <c r="R17" i="41"/>
  <c r="R9" i="41"/>
  <c r="R19" i="41"/>
  <c r="M264" i="42"/>
  <c r="M195" i="42" l="1"/>
  <c r="M192" i="42"/>
  <c r="M182" i="42"/>
  <c r="L210" i="42" l="1"/>
  <c r="K210" i="42"/>
  <c r="J210" i="42"/>
  <c r="M193" i="42"/>
  <c r="M191" i="42"/>
  <c r="M190" i="42"/>
  <c r="M189" i="42"/>
  <c r="M188" i="42"/>
  <c r="M187" i="42"/>
  <c r="M186" i="42"/>
  <c r="M185" i="42"/>
  <c r="M183" i="42"/>
  <c r="M181" i="42"/>
  <c r="M180" i="42"/>
  <c r="M179" i="42"/>
  <c r="M178" i="42"/>
  <c r="M177" i="42"/>
  <c r="M176" i="42"/>
  <c r="M175" i="42"/>
  <c r="M174" i="42"/>
  <c r="M173" i="42"/>
  <c r="M172" i="42"/>
  <c r="M171" i="42"/>
  <c r="M170" i="42"/>
  <c r="M169" i="42"/>
  <c r="M168" i="42"/>
  <c r="M167" i="42"/>
  <c r="M166" i="42"/>
  <c r="M165" i="42"/>
  <c r="M164" i="42"/>
  <c r="M163" i="42"/>
  <c r="G162" i="42"/>
  <c r="M210" i="42" l="1"/>
  <c r="U349" i="44" l="1"/>
  <c r="T349" i="44"/>
  <c r="S349" i="44"/>
  <c r="R349" i="44"/>
  <c r="Q349" i="44"/>
  <c r="P349" i="44"/>
  <c r="O349" i="44"/>
  <c r="N349" i="44"/>
  <c r="M349" i="44"/>
  <c r="L349" i="44"/>
  <c r="K349" i="44"/>
  <c r="J349" i="44"/>
  <c r="I349" i="44"/>
  <c r="H349" i="44"/>
  <c r="V348" i="44"/>
  <c r="V347" i="44"/>
  <c r="V346" i="44"/>
  <c r="V345" i="44"/>
  <c r="V344" i="44"/>
  <c r="V343" i="44"/>
  <c r="V342" i="44"/>
  <c r="V341" i="44"/>
  <c r="V340" i="44"/>
  <c r="V339" i="44"/>
  <c r="V338" i="44"/>
  <c r="V337" i="44"/>
  <c r="V336" i="44"/>
  <c r="V334" i="44"/>
  <c r="V333" i="44"/>
  <c r="V332" i="44"/>
  <c r="V331" i="44"/>
  <c r="V330" i="44"/>
  <c r="V329" i="44"/>
  <c r="V328" i="44"/>
  <c r="V327" i="44"/>
  <c r="V326" i="44"/>
  <c r="V325" i="44"/>
  <c r="V324" i="44"/>
  <c r="V323" i="44"/>
  <c r="V322" i="44"/>
  <c r="V321" i="44"/>
  <c r="V320" i="44"/>
  <c r="V319" i="44"/>
  <c r="V318" i="44"/>
  <c r="V317" i="44"/>
  <c r="V316" i="44"/>
  <c r="V315" i="44"/>
  <c r="F314" i="44"/>
  <c r="V349" i="44" l="1"/>
  <c r="F275" i="44"/>
  <c r="F359" i="45"/>
  <c r="G109" i="42"/>
  <c r="G56" i="42"/>
  <c r="L158" i="42" l="1"/>
  <c r="K158" i="42"/>
  <c r="J158" i="42"/>
  <c r="M142" i="42"/>
  <c r="M140" i="42"/>
  <c r="M139" i="42"/>
  <c r="M138" i="42"/>
  <c r="M137" i="42"/>
  <c r="M136" i="42"/>
  <c r="M135" i="42"/>
  <c r="M134" i="42"/>
  <c r="M133" i="42"/>
  <c r="M131" i="42"/>
  <c r="M130" i="42"/>
  <c r="M129" i="42"/>
  <c r="M128" i="42"/>
  <c r="M127" i="42"/>
  <c r="M126" i="42"/>
  <c r="M125" i="42"/>
  <c r="M124" i="42"/>
  <c r="M123" i="42"/>
  <c r="M122" i="42"/>
  <c r="M121" i="42"/>
  <c r="M120" i="42"/>
  <c r="M119" i="42"/>
  <c r="M118" i="42"/>
  <c r="M117" i="42"/>
  <c r="M116" i="42"/>
  <c r="M115" i="42"/>
  <c r="M114" i="42"/>
  <c r="M113" i="42"/>
  <c r="M112" i="42"/>
  <c r="M111" i="42"/>
  <c r="M110" i="42"/>
  <c r="M158" i="42" l="1"/>
  <c r="T379" i="45"/>
  <c r="H400" i="45"/>
  <c r="S88" i="47" l="1"/>
  <c r="R88" i="47"/>
  <c r="Q88" i="47"/>
  <c r="P88" i="47"/>
  <c r="O88" i="47"/>
  <c r="N88" i="47"/>
  <c r="M88" i="47"/>
  <c r="L88" i="47"/>
  <c r="K88" i="47"/>
  <c r="J88" i="47"/>
  <c r="I88" i="47"/>
  <c r="H88" i="47"/>
  <c r="T87" i="47"/>
  <c r="T86" i="47"/>
  <c r="T85" i="47"/>
  <c r="T84" i="47"/>
  <c r="T83" i="47"/>
  <c r="T82" i="47"/>
  <c r="T81" i="47"/>
  <c r="T80" i="47"/>
  <c r="T78" i="47"/>
  <c r="T77" i="47"/>
  <c r="T76" i="47"/>
  <c r="T75" i="47"/>
  <c r="T74" i="47"/>
  <c r="T73" i="47"/>
  <c r="T72" i="47"/>
  <c r="T71" i="47"/>
  <c r="T70" i="47"/>
  <c r="T69" i="47"/>
  <c r="T68" i="47"/>
  <c r="T67" i="47"/>
  <c r="T66" i="47"/>
  <c r="T65" i="47"/>
  <c r="T64" i="47"/>
  <c r="T63" i="47"/>
  <c r="T62" i="47"/>
  <c r="T61" i="47"/>
  <c r="T60" i="47"/>
  <c r="T59" i="47"/>
  <c r="T58" i="47"/>
  <c r="T57" i="47"/>
  <c r="T56" i="47"/>
  <c r="T55" i="47"/>
  <c r="T54" i="47"/>
  <c r="T53" i="47"/>
  <c r="T52" i="47"/>
  <c r="T51" i="47"/>
  <c r="T50" i="47"/>
  <c r="T49" i="47"/>
  <c r="T48" i="47"/>
  <c r="F47" i="47"/>
  <c r="T88" i="47" l="1"/>
  <c r="S400" i="45" l="1"/>
  <c r="R400" i="45"/>
  <c r="Q400" i="45"/>
  <c r="P400" i="45"/>
  <c r="O400" i="45"/>
  <c r="N400" i="45"/>
  <c r="M400" i="45"/>
  <c r="L400" i="45"/>
  <c r="K400" i="45"/>
  <c r="J400" i="45"/>
  <c r="I400" i="45"/>
  <c r="T399" i="45"/>
  <c r="T398" i="45"/>
  <c r="T397" i="45"/>
  <c r="T396" i="45"/>
  <c r="T395" i="45"/>
  <c r="T394" i="45"/>
  <c r="T393" i="45"/>
  <c r="T392" i="45"/>
  <c r="T391" i="45"/>
  <c r="T390" i="45"/>
  <c r="T388" i="45"/>
  <c r="T387" i="45"/>
  <c r="T386" i="45"/>
  <c r="T385" i="45"/>
  <c r="T384" i="45"/>
  <c r="T383" i="45"/>
  <c r="T382" i="45"/>
  <c r="T381" i="45"/>
  <c r="T380" i="45"/>
  <c r="T378" i="45"/>
  <c r="T377" i="45"/>
  <c r="T376" i="45"/>
  <c r="T375" i="45"/>
  <c r="T374" i="45"/>
  <c r="T373" i="45"/>
  <c r="T372" i="45"/>
  <c r="T371" i="45"/>
  <c r="T370" i="45"/>
  <c r="T369" i="45"/>
  <c r="T368" i="45"/>
  <c r="T367" i="45"/>
  <c r="T366" i="45"/>
  <c r="T365" i="45"/>
  <c r="T364" i="45"/>
  <c r="T363" i="45"/>
  <c r="T362" i="45"/>
  <c r="T361" i="45"/>
  <c r="T360" i="45"/>
  <c r="T400" i="45" l="1"/>
  <c r="L52" i="42" l="1"/>
  <c r="S355" i="45" l="1"/>
  <c r="R355" i="45"/>
  <c r="Q355" i="45"/>
  <c r="P355" i="45"/>
  <c r="O355" i="45"/>
  <c r="N355" i="45"/>
  <c r="M355" i="45"/>
  <c r="L355" i="45"/>
  <c r="K355" i="45"/>
  <c r="J355" i="45"/>
  <c r="I355" i="45"/>
  <c r="T354" i="45"/>
  <c r="T353" i="45"/>
  <c r="H355" i="45"/>
  <c r="T351" i="45"/>
  <c r="T350" i="45"/>
  <c r="T349" i="45"/>
  <c r="T348" i="45"/>
  <c r="T347" i="45"/>
  <c r="T346" i="45"/>
  <c r="T345" i="45"/>
  <c r="T343" i="45"/>
  <c r="T342" i="45"/>
  <c r="T341" i="45"/>
  <c r="T340" i="45"/>
  <c r="T339" i="45"/>
  <c r="T338" i="45"/>
  <c r="T337" i="45"/>
  <c r="T336" i="45"/>
  <c r="T335" i="45"/>
  <c r="T334" i="45"/>
  <c r="T333" i="45"/>
  <c r="T332" i="45"/>
  <c r="T331" i="45"/>
  <c r="T330" i="45"/>
  <c r="T329" i="45"/>
  <c r="T328" i="45"/>
  <c r="T327" i="45"/>
  <c r="T326" i="45"/>
  <c r="T325" i="45"/>
  <c r="T324" i="45"/>
  <c r="T323" i="45"/>
  <c r="T322" i="45"/>
  <c r="T321" i="45"/>
  <c r="T320" i="45"/>
  <c r="T319" i="45"/>
  <c r="T318" i="45"/>
  <c r="T317" i="45"/>
  <c r="T316" i="45"/>
  <c r="T315" i="45"/>
  <c r="F314" i="45"/>
  <c r="T355" i="45" l="1"/>
  <c r="T352" i="45"/>
  <c r="U310" i="44"/>
  <c r="T310" i="44"/>
  <c r="S310" i="44"/>
  <c r="R310" i="44"/>
  <c r="Q310" i="44"/>
  <c r="P310" i="44"/>
  <c r="O310" i="44"/>
  <c r="N310" i="44"/>
  <c r="M310" i="44"/>
  <c r="L310" i="44"/>
  <c r="K310" i="44"/>
  <c r="J310" i="44"/>
  <c r="I310" i="44"/>
  <c r="H310" i="44"/>
  <c r="V309" i="44"/>
  <c r="V308" i="44"/>
  <c r="V307" i="44"/>
  <c r="V306" i="44"/>
  <c r="V305" i="44"/>
  <c r="V304" i="44"/>
  <c r="V303" i="44"/>
  <c r="V302" i="44"/>
  <c r="V301" i="44"/>
  <c r="V300" i="44"/>
  <c r="V299" i="44"/>
  <c r="V298" i="44"/>
  <c r="V297" i="44"/>
  <c r="V295" i="44"/>
  <c r="V294" i="44"/>
  <c r="V293" i="44"/>
  <c r="V292" i="44"/>
  <c r="V291" i="44"/>
  <c r="V290" i="44"/>
  <c r="V289" i="44"/>
  <c r="V288" i="44"/>
  <c r="V287" i="44"/>
  <c r="V286" i="44"/>
  <c r="V285" i="44"/>
  <c r="V284" i="44"/>
  <c r="V283" i="44"/>
  <c r="V282" i="44"/>
  <c r="V281" i="44"/>
  <c r="V280" i="44"/>
  <c r="V279" i="44"/>
  <c r="V278" i="44"/>
  <c r="V277" i="44"/>
  <c r="V276" i="44"/>
  <c r="V310" i="44" l="1"/>
  <c r="L105" i="42"/>
  <c r="H307" i="45" l="1"/>
  <c r="S310" i="45" l="1"/>
  <c r="R310" i="45"/>
  <c r="Q310" i="45"/>
  <c r="P310" i="45"/>
  <c r="O310" i="45"/>
  <c r="N310" i="45"/>
  <c r="M310" i="45"/>
  <c r="L310" i="45"/>
  <c r="K310" i="45"/>
  <c r="J310" i="45"/>
  <c r="I310" i="45"/>
  <c r="H310" i="45"/>
  <c r="T309" i="45"/>
  <c r="T308" i="45"/>
  <c r="T307" i="45"/>
  <c r="T306" i="45"/>
  <c r="T305" i="45"/>
  <c r="T304" i="45"/>
  <c r="T303" i="45"/>
  <c r="T302" i="45"/>
  <c r="T301" i="45"/>
  <c r="T300" i="45"/>
  <c r="T298" i="45"/>
  <c r="T297" i="45"/>
  <c r="T296" i="45"/>
  <c r="T295" i="45"/>
  <c r="T294" i="45"/>
  <c r="T293" i="45"/>
  <c r="T292" i="45"/>
  <c r="T291" i="45"/>
  <c r="T290" i="45"/>
  <c r="T289" i="45"/>
  <c r="T288" i="45"/>
  <c r="T287" i="45"/>
  <c r="T286" i="45"/>
  <c r="T285" i="45"/>
  <c r="T284" i="45"/>
  <c r="T283" i="45"/>
  <c r="T282" i="45"/>
  <c r="T281" i="45"/>
  <c r="T280" i="45"/>
  <c r="T279" i="45"/>
  <c r="T278" i="45"/>
  <c r="T277" i="45"/>
  <c r="T276" i="45"/>
  <c r="T275" i="45"/>
  <c r="T274" i="45"/>
  <c r="T273" i="45"/>
  <c r="T272" i="45"/>
  <c r="T271" i="45"/>
  <c r="T270" i="45"/>
  <c r="F269" i="45"/>
  <c r="T310" i="45" l="1"/>
  <c r="K105" i="42"/>
  <c r="J105" i="42"/>
  <c r="M103" i="42"/>
  <c r="M102" i="42"/>
  <c r="M101" i="42"/>
  <c r="M100" i="42"/>
  <c r="M99" i="42"/>
  <c r="M98" i="42"/>
  <c r="M97" i="42"/>
  <c r="M96" i="42"/>
  <c r="M95" i="42"/>
  <c r="M94" i="42"/>
  <c r="M93" i="42"/>
  <c r="M92" i="42"/>
  <c r="M91" i="42"/>
  <c r="M90" i="42"/>
  <c r="M89" i="42"/>
  <c r="M87" i="42"/>
  <c r="M86" i="42"/>
  <c r="M85" i="42"/>
  <c r="M84" i="42"/>
  <c r="M83" i="42"/>
  <c r="M82" i="42"/>
  <c r="M81" i="42"/>
  <c r="M80" i="42"/>
  <c r="M78" i="42"/>
  <c r="M77" i="42"/>
  <c r="M76" i="42"/>
  <c r="M75" i="42"/>
  <c r="M74" i="42"/>
  <c r="M73" i="42"/>
  <c r="M72" i="42"/>
  <c r="M71" i="42"/>
  <c r="M70" i="42"/>
  <c r="M69" i="42"/>
  <c r="M68" i="42"/>
  <c r="M67" i="42"/>
  <c r="M66" i="42"/>
  <c r="M65" i="42"/>
  <c r="M64" i="42"/>
  <c r="M63" i="42"/>
  <c r="M62" i="42"/>
  <c r="M61" i="42"/>
  <c r="M60" i="42"/>
  <c r="M59" i="42"/>
  <c r="M58" i="42"/>
  <c r="M57" i="42"/>
  <c r="M105" i="42" l="1"/>
  <c r="B24" i="41"/>
  <c r="B25" i="41"/>
  <c r="B26" i="41"/>
  <c r="B27" i="41"/>
  <c r="B28" i="41"/>
  <c r="B23" i="41"/>
  <c r="C24" i="41"/>
  <c r="C25" i="41"/>
  <c r="C26" i="41"/>
  <c r="C27" i="41"/>
  <c r="C28" i="41"/>
  <c r="C23" i="41"/>
  <c r="E24" i="41"/>
  <c r="E25" i="41"/>
  <c r="E26" i="41"/>
  <c r="E27" i="41"/>
  <c r="E28" i="41"/>
  <c r="E23" i="41"/>
  <c r="D24" i="41"/>
  <c r="D25" i="41"/>
  <c r="D26" i="41"/>
  <c r="D27" i="41"/>
  <c r="D28" i="41"/>
  <c r="S265" i="45" l="1"/>
  <c r="R265" i="45"/>
  <c r="Q265" i="45"/>
  <c r="P265" i="45"/>
  <c r="O265" i="45"/>
  <c r="N265" i="45"/>
  <c r="M265" i="45"/>
  <c r="L265" i="45"/>
  <c r="K265" i="45"/>
  <c r="J265" i="45"/>
  <c r="I265" i="45"/>
  <c r="H265" i="45"/>
  <c r="T264" i="45"/>
  <c r="T263" i="45"/>
  <c r="T262" i="45"/>
  <c r="T261" i="45"/>
  <c r="T260" i="45"/>
  <c r="T259" i="45"/>
  <c r="T258" i="45"/>
  <c r="T257" i="45"/>
  <c r="T256" i="45"/>
  <c r="T255" i="45"/>
  <c r="T253" i="45"/>
  <c r="T252" i="45"/>
  <c r="T251" i="45"/>
  <c r="T250" i="45"/>
  <c r="T249" i="45"/>
  <c r="T248" i="45"/>
  <c r="T247" i="45"/>
  <c r="T246" i="45"/>
  <c r="T245" i="45"/>
  <c r="T244" i="45"/>
  <c r="T243" i="45"/>
  <c r="T242" i="45"/>
  <c r="T241" i="45"/>
  <c r="T240" i="45"/>
  <c r="T239" i="45"/>
  <c r="T238" i="45"/>
  <c r="T237" i="45"/>
  <c r="T236" i="45"/>
  <c r="T235" i="45"/>
  <c r="T234" i="45"/>
  <c r="T233" i="45"/>
  <c r="T232" i="45"/>
  <c r="T231" i="45"/>
  <c r="T230" i="45"/>
  <c r="T229" i="45"/>
  <c r="T228" i="45"/>
  <c r="T227" i="45"/>
  <c r="T226" i="45"/>
  <c r="T225" i="45"/>
  <c r="F224" i="45"/>
  <c r="T265" i="45" l="1"/>
  <c r="U271" i="44"/>
  <c r="T271" i="44"/>
  <c r="S271" i="44"/>
  <c r="R271" i="44"/>
  <c r="Q271" i="44"/>
  <c r="P271" i="44"/>
  <c r="O271" i="44"/>
  <c r="N271" i="44"/>
  <c r="M271" i="44"/>
  <c r="L271" i="44"/>
  <c r="K271" i="44"/>
  <c r="J271" i="44"/>
  <c r="I271" i="44"/>
  <c r="H271" i="44"/>
  <c r="V270" i="44"/>
  <c r="V269" i="44"/>
  <c r="V268" i="44"/>
  <c r="V267" i="44"/>
  <c r="V266" i="44"/>
  <c r="V265" i="44"/>
  <c r="V264" i="44"/>
  <c r="V263" i="44"/>
  <c r="V262" i="44"/>
  <c r="V261" i="44"/>
  <c r="V260" i="44"/>
  <c r="V259" i="44"/>
  <c r="V258" i="44"/>
  <c r="V256" i="44"/>
  <c r="V255" i="44"/>
  <c r="V254" i="44"/>
  <c r="V253" i="44"/>
  <c r="V252" i="44"/>
  <c r="V251" i="44"/>
  <c r="V250" i="44"/>
  <c r="V249" i="44"/>
  <c r="V248" i="44"/>
  <c r="V247" i="44"/>
  <c r="V246" i="44"/>
  <c r="V245" i="44"/>
  <c r="V244" i="44"/>
  <c r="V243" i="44"/>
  <c r="V242" i="44"/>
  <c r="V241" i="44"/>
  <c r="V240" i="44"/>
  <c r="V239" i="44"/>
  <c r="V238" i="44"/>
  <c r="V237" i="44"/>
  <c r="F236" i="44"/>
  <c r="V271" i="44" l="1"/>
  <c r="S220" i="45"/>
  <c r="R220" i="45"/>
  <c r="Q220" i="45"/>
  <c r="P220" i="45"/>
  <c r="O220" i="45"/>
  <c r="N220" i="45"/>
  <c r="M220" i="45"/>
  <c r="L220" i="45"/>
  <c r="K220" i="45"/>
  <c r="J220" i="45"/>
  <c r="I220" i="45"/>
  <c r="H220" i="45"/>
  <c r="T219" i="45"/>
  <c r="T218" i="45"/>
  <c r="T217" i="45"/>
  <c r="T216" i="45"/>
  <c r="T215" i="45"/>
  <c r="T214" i="45"/>
  <c r="T213" i="45"/>
  <c r="T212" i="45"/>
  <c r="T211" i="45"/>
  <c r="T210" i="45"/>
  <c r="T208" i="45"/>
  <c r="T207" i="45"/>
  <c r="T206" i="45"/>
  <c r="T205" i="45"/>
  <c r="T204" i="45"/>
  <c r="T203" i="45"/>
  <c r="T202" i="45"/>
  <c r="T201" i="45"/>
  <c r="T200" i="45"/>
  <c r="T199" i="45"/>
  <c r="T198" i="45"/>
  <c r="T197" i="45"/>
  <c r="T196" i="45"/>
  <c r="T195" i="45"/>
  <c r="T194" i="45"/>
  <c r="T193" i="45"/>
  <c r="T192" i="45"/>
  <c r="T191" i="45"/>
  <c r="T190" i="45"/>
  <c r="T189" i="45"/>
  <c r="T188" i="45"/>
  <c r="T187" i="45"/>
  <c r="T186" i="45"/>
  <c r="T185" i="45"/>
  <c r="T184" i="45"/>
  <c r="T183" i="45"/>
  <c r="T182" i="45"/>
  <c r="T181" i="45"/>
  <c r="T180" i="45"/>
  <c r="F179" i="45"/>
  <c r="T220" i="45" l="1"/>
  <c r="M34" i="42"/>
  <c r="M50" i="42"/>
  <c r="M49" i="42"/>
  <c r="M48" i="42"/>
  <c r="M47" i="42"/>
  <c r="M46" i="42"/>
  <c r="M45" i="42"/>
  <c r="M44" i="42"/>
  <c r="M42" i="42"/>
  <c r="M41" i="42"/>
  <c r="M40" i="42"/>
  <c r="M39" i="42"/>
  <c r="M38" i="42"/>
  <c r="M37" i="42"/>
  <c r="M36" i="42"/>
  <c r="M29" i="42" l="1"/>
  <c r="M30" i="42"/>
  <c r="M31" i="42"/>
  <c r="M32" i="42"/>
  <c r="M33" i="42"/>
  <c r="M28" i="42"/>
  <c r="M27" i="42"/>
  <c r="K52" i="42"/>
  <c r="J52" i="42"/>
  <c r="H457" i="42" l="1"/>
  <c r="H394" i="42"/>
  <c r="H331" i="42"/>
  <c r="H268" i="42"/>
  <c r="H214" i="42"/>
  <c r="H109" i="42"/>
  <c r="H162" i="42"/>
  <c r="H56" i="42"/>
  <c r="H3" i="42"/>
  <c r="U232" i="44"/>
  <c r="T232" i="44"/>
  <c r="S232" i="44"/>
  <c r="R232" i="44"/>
  <c r="Q232" i="44"/>
  <c r="P232" i="44"/>
  <c r="O232" i="44"/>
  <c r="N232" i="44"/>
  <c r="M232" i="44"/>
  <c r="L232" i="44"/>
  <c r="K232" i="44"/>
  <c r="J232" i="44"/>
  <c r="I232" i="44"/>
  <c r="H232" i="44"/>
  <c r="V231" i="44"/>
  <c r="V230" i="44"/>
  <c r="V229" i="44"/>
  <c r="V228" i="44"/>
  <c r="V227" i="44"/>
  <c r="V226" i="44"/>
  <c r="V225" i="44"/>
  <c r="V224" i="44"/>
  <c r="V223" i="44"/>
  <c r="V222" i="44"/>
  <c r="V221" i="44"/>
  <c r="V220" i="44"/>
  <c r="V219" i="44"/>
  <c r="V217" i="44"/>
  <c r="V216" i="44"/>
  <c r="V215" i="44"/>
  <c r="V214" i="44"/>
  <c r="V213" i="44"/>
  <c r="V212" i="44"/>
  <c r="V211" i="44"/>
  <c r="V210" i="44"/>
  <c r="V209" i="44"/>
  <c r="V208" i="44"/>
  <c r="V207" i="44"/>
  <c r="V206" i="44"/>
  <c r="V205" i="44"/>
  <c r="V204" i="44"/>
  <c r="V203" i="44"/>
  <c r="V202" i="44"/>
  <c r="V201" i="44"/>
  <c r="V200" i="44"/>
  <c r="V199" i="44"/>
  <c r="V198" i="44"/>
  <c r="F197" i="44"/>
  <c r="V232" i="44" l="1"/>
  <c r="D29" i="63"/>
  <c r="T172" i="45" l="1"/>
  <c r="S175" i="45"/>
  <c r="R175" i="45"/>
  <c r="Q175" i="45"/>
  <c r="P175" i="45"/>
  <c r="O175" i="45"/>
  <c r="N175" i="45"/>
  <c r="M175" i="45"/>
  <c r="L175" i="45"/>
  <c r="K175" i="45"/>
  <c r="J175" i="45"/>
  <c r="I175" i="45"/>
  <c r="H175" i="45"/>
  <c r="T174" i="45"/>
  <c r="T173" i="45"/>
  <c r="T171" i="45"/>
  <c r="T170" i="45"/>
  <c r="T169" i="45"/>
  <c r="T168" i="45"/>
  <c r="T167" i="45"/>
  <c r="T166" i="45"/>
  <c r="T165" i="45"/>
  <c r="T163" i="45"/>
  <c r="T162" i="45"/>
  <c r="T161" i="45"/>
  <c r="T160" i="45"/>
  <c r="T159" i="45"/>
  <c r="T158" i="45"/>
  <c r="T157" i="45"/>
  <c r="T156" i="45"/>
  <c r="T155" i="45"/>
  <c r="T154" i="45"/>
  <c r="T153" i="45"/>
  <c r="T152" i="45"/>
  <c r="T151" i="45"/>
  <c r="T150" i="45"/>
  <c r="T149" i="45"/>
  <c r="T148" i="45"/>
  <c r="T147" i="45"/>
  <c r="T146" i="45"/>
  <c r="T145" i="45"/>
  <c r="T144" i="45"/>
  <c r="T143" i="45"/>
  <c r="T142" i="45"/>
  <c r="T141" i="45"/>
  <c r="T140" i="45"/>
  <c r="T139" i="45"/>
  <c r="T138" i="45"/>
  <c r="T137" i="45"/>
  <c r="T136" i="45"/>
  <c r="T135" i="45"/>
  <c r="F134" i="45"/>
  <c r="T175" i="45" l="1"/>
  <c r="G3" i="42"/>
  <c r="D23" i="41" s="1"/>
  <c r="D30" i="41" s="1"/>
  <c r="M15" i="42"/>
  <c r="N15" i="42" s="1"/>
  <c r="M16" i="42"/>
  <c r="N16" i="42" s="1"/>
  <c r="M17" i="42"/>
  <c r="N17" i="42" s="1"/>
  <c r="M18" i="42"/>
  <c r="N18" i="42" l="1"/>
  <c r="U193" i="44"/>
  <c r="T193" i="44"/>
  <c r="S193" i="44"/>
  <c r="R193" i="44"/>
  <c r="Q193" i="44"/>
  <c r="P193" i="44"/>
  <c r="O193" i="44"/>
  <c r="N193" i="44"/>
  <c r="M193" i="44"/>
  <c r="L193" i="44"/>
  <c r="K193" i="44"/>
  <c r="J193" i="44"/>
  <c r="I193" i="44"/>
  <c r="H193" i="44"/>
  <c r="V192" i="44"/>
  <c r="V191" i="44"/>
  <c r="V190" i="44"/>
  <c r="V189" i="44"/>
  <c r="V188" i="44"/>
  <c r="V187" i="44"/>
  <c r="V186" i="44"/>
  <c r="V185" i="44"/>
  <c r="V184" i="44"/>
  <c r="V183" i="44"/>
  <c r="V182" i="44"/>
  <c r="V181" i="44"/>
  <c r="V180" i="44"/>
  <c r="V178" i="44"/>
  <c r="V177" i="44"/>
  <c r="V176" i="44"/>
  <c r="V175" i="44"/>
  <c r="V174" i="44"/>
  <c r="V173" i="44"/>
  <c r="V172" i="44"/>
  <c r="V171" i="44"/>
  <c r="V170" i="44"/>
  <c r="V169" i="44"/>
  <c r="V168" i="44"/>
  <c r="V167" i="44"/>
  <c r="V166" i="44"/>
  <c r="V165" i="44"/>
  <c r="V164" i="44"/>
  <c r="V163" i="44"/>
  <c r="V162" i="44"/>
  <c r="V161" i="44"/>
  <c r="V160" i="44"/>
  <c r="V159" i="44"/>
  <c r="F158" i="44"/>
  <c r="V193" i="44" l="1"/>
  <c r="U35" i="45"/>
  <c r="U154" i="44" l="1"/>
  <c r="T154" i="44"/>
  <c r="S154" i="44"/>
  <c r="R154" i="44"/>
  <c r="Q154" i="44"/>
  <c r="P154" i="44"/>
  <c r="O154" i="44"/>
  <c r="N154" i="44"/>
  <c r="M154" i="44"/>
  <c r="L154" i="44"/>
  <c r="K154" i="44"/>
  <c r="J154" i="44"/>
  <c r="I154" i="44"/>
  <c r="H154" i="44"/>
  <c r="V153" i="44"/>
  <c r="W153" i="44" s="1"/>
  <c r="V152" i="44"/>
  <c r="W152" i="44" s="1"/>
  <c r="V151" i="44"/>
  <c r="W151" i="44" s="1"/>
  <c r="V150" i="44"/>
  <c r="W150" i="44" s="1"/>
  <c r="V149" i="44"/>
  <c r="W149" i="44" s="1"/>
  <c r="V148" i="44"/>
  <c r="W148" i="44" s="1"/>
  <c r="V147" i="44"/>
  <c r="W147" i="44" s="1"/>
  <c r="V146" i="44"/>
  <c r="W146" i="44" s="1"/>
  <c r="V145" i="44"/>
  <c r="W145" i="44" s="1"/>
  <c r="V144" i="44"/>
  <c r="W144" i="44" s="1"/>
  <c r="V143" i="44"/>
  <c r="W143" i="44" s="1"/>
  <c r="V142" i="44"/>
  <c r="W142" i="44" s="1"/>
  <c r="V141" i="44"/>
  <c r="W141" i="44" s="1"/>
  <c r="V139" i="44"/>
  <c r="W139" i="44" s="1"/>
  <c r="V138" i="44"/>
  <c r="W138" i="44" s="1"/>
  <c r="V137" i="44"/>
  <c r="W137" i="44" s="1"/>
  <c r="V136" i="44"/>
  <c r="W136" i="44" s="1"/>
  <c r="V135" i="44"/>
  <c r="W135" i="44" s="1"/>
  <c r="V134" i="44"/>
  <c r="W134" i="44" s="1"/>
  <c r="V133" i="44"/>
  <c r="W133" i="44" s="1"/>
  <c r="V132" i="44"/>
  <c r="W132" i="44" s="1"/>
  <c r="V131" i="44"/>
  <c r="W131" i="44" s="1"/>
  <c r="V130" i="44"/>
  <c r="W130" i="44" s="1"/>
  <c r="V129" i="44"/>
  <c r="W129" i="44" s="1"/>
  <c r="V128" i="44"/>
  <c r="W128" i="44" s="1"/>
  <c r="V127" i="44"/>
  <c r="W127" i="44" s="1"/>
  <c r="V126" i="44"/>
  <c r="W126" i="44" s="1"/>
  <c r="V125" i="44"/>
  <c r="W125" i="44" s="1"/>
  <c r="V124" i="44"/>
  <c r="W124" i="44" s="1"/>
  <c r="V123" i="44"/>
  <c r="W123" i="44" s="1"/>
  <c r="V122" i="44"/>
  <c r="W122" i="44" s="1"/>
  <c r="V121" i="44"/>
  <c r="W121" i="44" s="1"/>
  <c r="V120" i="44"/>
  <c r="W120" i="44" s="1"/>
  <c r="F119" i="44"/>
  <c r="V154" i="44" l="1"/>
  <c r="W154" i="44" s="1"/>
  <c r="U115" i="44"/>
  <c r="T115" i="44"/>
  <c r="S115" i="44"/>
  <c r="R115" i="44"/>
  <c r="Q115" i="44"/>
  <c r="P115" i="44"/>
  <c r="O115" i="44"/>
  <c r="N115" i="44"/>
  <c r="M115" i="44"/>
  <c r="L115" i="44"/>
  <c r="K115" i="44"/>
  <c r="J115" i="44"/>
  <c r="I115" i="44"/>
  <c r="H115" i="44"/>
  <c r="V114" i="44"/>
  <c r="W114" i="44" s="1"/>
  <c r="V113" i="44"/>
  <c r="W113" i="44" s="1"/>
  <c r="V112" i="44"/>
  <c r="W112" i="44" s="1"/>
  <c r="V111" i="44"/>
  <c r="W111" i="44" s="1"/>
  <c r="V110" i="44"/>
  <c r="W110" i="44" s="1"/>
  <c r="V109" i="44"/>
  <c r="W109" i="44" s="1"/>
  <c r="V108" i="44"/>
  <c r="W108" i="44" s="1"/>
  <c r="V107" i="44"/>
  <c r="W107" i="44" s="1"/>
  <c r="V106" i="44"/>
  <c r="W106" i="44" s="1"/>
  <c r="V105" i="44"/>
  <c r="W105" i="44" s="1"/>
  <c r="V104" i="44"/>
  <c r="W104" i="44" s="1"/>
  <c r="V103" i="44"/>
  <c r="W103" i="44" s="1"/>
  <c r="V102" i="44"/>
  <c r="W102" i="44" s="1"/>
  <c r="V100" i="44"/>
  <c r="W100" i="44" s="1"/>
  <c r="V99" i="44"/>
  <c r="W99" i="44" s="1"/>
  <c r="V98" i="44"/>
  <c r="W98" i="44" s="1"/>
  <c r="V97" i="44"/>
  <c r="W97" i="44" s="1"/>
  <c r="V96" i="44"/>
  <c r="W96" i="44" s="1"/>
  <c r="V95" i="44"/>
  <c r="W95" i="44" s="1"/>
  <c r="V94" i="44"/>
  <c r="W94" i="44" s="1"/>
  <c r="V93" i="44"/>
  <c r="W93" i="44" s="1"/>
  <c r="V92" i="44"/>
  <c r="W92" i="44" s="1"/>
  <c r="V91" i="44"/>
  <c r="W91" i="44" s="1"/>
  <c r="V90" i="44"/>
  <c r="W90" i="44" s="1"/>
  <c r="V89" i="44"/>
  <c r="W89" i="44" s="1"/>
  <c r="V88" i="44"/>
  <c r="W88" i="44" s="1"/>
  <c r="V87" i="44"/>
  <c r="W87" i="44" s="1"/>
  <c r="V86" i="44"/>
  <c r="W86" i="44" s="1"/>
  <c r="V85" i="44"/>
  <c r="W85" i="44" s="1"/>
  <c r="V84" i="44"/>
  <c r="W84" i="44" s="1"/>
  <c r="V83" i="44"/>
  <c r="W83" i="44" s="1"/>
  <c r="V82" i="44"/>
  <c r="W82" i="44" s="1"/>
  <c r="V81" i="44"/>
  <c r="W81" i="44" s="1"/>
  <c r="F80" i="44"/>
  <c r="V115" i="44" l="1"/>
  <c r="W115" i="44" s="1"/>
  <c r="S43" i="47" l="1"/>
  <c r="R43" i="47"/>
  <c r="Q43" i="47"/>
  <c r="P43" i="47"/>
  <c r="O43" i="47"/>
  <c r="N43" i="47"/>
  <c r="M43" i="47"/>
  <c r="L43" i="47"/>
  <c r="K43" i="47"/>
  <c r="J43" i="47"/>
  <c r="I43" i="47"/>
  <c r="H43" i="47"/>
  <c r="T42" i="47"/>
  <c r="U42" i="47" s="1"/>
  <c r="T41" i="47"/>
  <c r="U41" i="47" s="1"/>
  <c r="T40" i="47"/>
  <c r="U40" i="47" s="1"/>
  <c r="T39" i="47"/>
  <c r="R16" i="50" s="1"/>
  <c r="T38" i="47"/>
  <c r="U38" i="47" s="1"/>
  <c r="T37" i="47"/>
  <c r="U37" i="47" s="1"/>
  <c r="T36" i="47"/>
  <c r="U36" i="47" s="1"/>
  <c r="T35" i="47"/>
  <c r="U35" i="47" s="1"/>
  <c r="T33" i="47"/>
  <c r="U33" i="47" s="1"/>
  <c r="T32" i="47"/>
  <c r="U32" i="47" s="1"/>
  <c r="T31" i="47"/>
  <c r="U31" i="47" s="1"/>
  <c r="T30" i="47"/>
  <c r="U30" i="47" s="1"/>
  <c r="T29" i="47"/>
  <c r="R18" i="50" s="1"/>
  <c r="T28" i="47"/>
  <c r="U28" i="47" s="1"/>
  <c r="T27" i="47"/>
  <c r="U27" i="47" s="1"/>
  <c r="T26" i="47"/>
  <c r="R15" i="50" s="1"/>
  <c r="T25" i="47"/>
  <c r="U25" i="47" s="1"/>
  <c r="T24" i="47"/>
  <c r="R9" i="50" s="1"/>
  <c r="T23" i="47"/>
  <c r="R17" i="50" s="1"/>
  <c r="T22" i="47"/>
  <c r="R10" i="50" s="1"/>
  <c r="T21" i="47"/>
  <c r="R22" i="50" s="1"/>
  <c r="T20" i="47"/>
  <c r="R19" i="50" s="1"/>
  <c r="T19" i="47"/>
  <c r="U19" i="47" s="1"/>
  <c r="T18" i="47"/>
  <c r="U18" i="47" s="1"/>
  <c r="T17" i="47"/>
  <c r="U17" i="47" s="1"/>
  <c r="T16" i="47"/>
  <c r="U16" i="47" s="1"/>
  <c r="T15" i="47"/>
  <c r="U15" i="47" s="1"/>
  <c r="T14" i="47"/>
  <c r="R13" i="50" s="1"/>
  <c r="T13" i="47"/>
  <c r="R7" i="50" s="1"/>
  <c r="T12" i="47"/>
  <c r="R14" i="50" s="1"/>
  <c r="T11" i="47"/>
  <c r="U11" i="47" s="1"/>
  <c r="T10" i="47"/>
  <c r="U10" i="47" s="1"/>
  <c r="T9" i="47"/>
  <c r="R20" i="50" s="1"/>
  <c r="T8" i="47"/>
  <c r="R11" i="50" s="1"/>
  <c r="T7" i="47"/>
  <c r="U7" i="47" s="1"/>
  <c r="T6" i="47"/>
  <c r="R8" i="50" s="1"/>
  <c r="T5" i="47"/>
  <c r="R6" i="50" s="1"/>
  <c r="T4" i="47"/>
  <c r="R12" i="50" s="1"/>
  <c r="T3" i="47"/>
  <c r="F2" i="47"/>
  <c r="U3" i="47" l="1"/>
  <c r="R5" i="50"/>
  <c r="U24" i="47"/>
  <c r="U8" i="47"/>
  <c r="U14" i="47"/>
  <c r="U20" i="47"/>
  <c r="U26" i="47"/>
  <c r="U39" i="47"/>
  <c r="U9" i="47"/>
  <c r="U21" i="47"/>
  <c r="U6" i="47"/>
  <c r="U4" i="47"/>
  <c r="U5" i="47"/>
  <c r="U23" i="47"/>
  <c r="U29" i="47"/>
  <c r="U22" i="47"/>
  <c r="U12" i="47"/>
  <c r="U13" i="47"/>
  <c r="T43" i="47"/>
  <c r="U43" i="47" s="1"/>
  <c r="S130" i="45"/>
  <c r="R130" i="45"/>
  <c r="Q130" i="45"/>
  <c r="P130" i="45"/>
  <c r="O130" i="45"/>
  <c r="N130" i="45"/>
  <c r="M130" i="45"/>
  <c r="L130" i="45"/>
  <c r="K130" i="45"/>
  <c r="J130" i="45"/>
  <c r="I130" i="45"/>
  <c r="H130" i="45"/>
  <c r="T129" i="45"/>
  <c r="U129" i="45" s="1"/>
  <c r="T128" i="45"/>
  <c r="U128" i="45" s="1"/>
  <c r="T127" i="45"/>
  <c r="U127" i="45" s="1"/>
  <c r="T126" i="45"/>
  <c r="U126" i="45" s="1"/>
  <c r="T125" i="45"/>
  <c r="U125" i="45" s="1"/>
  <c r="T124" i="45"/>
  <c r="U124" i="45" s="1"/>
  <c r="T123" i="45"/>
  <c r="U123" i="45" s="1"/>
  <c r="T122" i="45"/>
  <c r="U122" i="45" s="1"/>
  <c r="T121" i="45"/>
  <c r="U121" i="45" s="1"/>
  <c r="T119" i="45"/>
  <c r="U119" i="45" s="1"/>
  <c r="T118" i="45"/>
  <c r="U118" i="45" s="1"/>
  <c r="T117" i="45"/>
  <c r="U117" i="45" s="1"/>
  <c r="T116" i="45"/>
  <c r="U116" i="45" s="1"/>
  <c r="T115" i="45"/>
  <c r="U115" i="45" s="1"/>
  <c r="T114" i="45"/>
  <c r="U114" i="45" s="1"/>
  <c r="T113" i="45"/>
  <c r="U113" i="45" s="1"/>
  <c r="T112" i="45"/>
  <c r="U112" i="45" s="1"/>
  <c r="T111" i="45"/>
  <c r="U111" i="45" s="1"/>
  <c r="T110" i="45"/>
  <c r="U110" i="45" s="1"/>
  <c r="T109" i="45"/>
  <c r="U109" i="45" s="1"/>
  <c r="T108" i="45"/>
  <c r="U108" i="45" s="1"/>
  <c r="T107" i="45"/>
  <c r="U107" i="45" s="1"/>
  <c r="T106" i="45"/>
  <c r="U106" i="45" s="1"/>
  <c r="T105" i="45"/>
  <c r="U105" i="45" s="1"/>
  <c r="T104" i="45"/>
  <c r="U104" i="45" s="1"/>
  <c r="T103" i="45"/>
  <c r="U103" i="45" s="1"/>
  <c r="T102" i="45"/>
  <c r="U102" i="45" s="1"/>
  <c r="T101" i="45"/>
  <c r="U101" i="45" s="1"/>
  <c r="T100" i="45"/>
  <c r="U100" i="45" s="1"/>
  <c r="T99" i="45"/>
  <c r="U99" i="45" s="1"/>
  <c r="T98" i="45"/>
  <c r="U98" i="45" s="1"/>
  <c r="T97" i="45"/>
  <c r="U97" i="45" s="1"/>
  <c r="T96" i="45"/>
  <c r="U96" i="45" s="1"/>
  <c r="T95" i="45"/>
  <c r="U95" i="45" s="1"/>
  <c r="T94" i="45"/>
  <c r="U94" i="45" s="1"/>
  <c r="T93" i="45"/>
  <c r="U93" i="45" s="1"/>
  <c r="T92" i="45"/>
  <c r="U92" i="45" s="1"/>
  <c r="T91" i="45"/>
  <c r="U91" i="45" s="1"/>
  <c r="F90" i="45"/>
  <c r="T130" i="45" l="1"/>
  <c r="U130" i="45" s="1"/>
  <c r="U76" i="44"/>
  <c r="T76" i="44"/>
  <c r="S76" i="44"/>
  <c r="R76" i="44"/>
  <c r="Q76" i="44"/>
  <c r="P76" i="44"/>
  <c r="O76" i="44"/>
  <c r="N76" i="44"/>
  <c r="M76" i="44"/>
  <c r="L76" i="44"/>
  <c r="K76" i="44"/>
  <c r="J76" i="44"/>
  <c r="I76" i="44"/>
  <c r="H76" i="44"/>
  <c r="V75" i="44"/>
  <c r="W75" i="44" s="1"/>
  <c r="V74" i="44"/>
  <c r="W74" i="44" s="1"/>
  <c r="V73" i="44"/>
  <c r="W73" i="44" s="1"/>
  <c r="V72" i="44"/>
  <c r="W72" i="44" s="1"/>
  <c r="V71" i="44"/>
  <c r="W71" i="44" s="1"/>
  <c r="V70" i="44"/>
  <c r="W70" i="44" s="1"/>
  <c r="V69" i="44"/>
  <c r="W69" i="44" s="1"/>
  <c r="V68" i="44"/>
  <c r="W68" i="44" s="1"/>
  <c r="V67" i="44"/>
  <c r="W67" i="44" s="1"/>
  <c r="V66" i="44"/>
  <c r="W66" i="44" s="1"/>
  <c r="V65" i="44"/>
  <c r="W65" i="44" s="1"/>
  <c r="V64" i="44"/>
  <c r="W64" i="44" s="1"/>
  <c r="V63" i="44"/>
  <c r="W63" i="44" s="1"/>
  <c r="V61" i="44"/>
  <c r="W61" i="44" s="1"/>
  <c r="V60" i="44"/>
  <c r="W60" i="44" s="1"/>
  <c r="V59" i="44"/>
  <c r="W59" i="44" s="1"/>
  <c r="V58" i="44"/>
  <c r="W58" i="44" s="1"/>
  <c r="V57" i="44"/>
  <c r="W57" i="44" s="1"/>
  <c r="V56" i="44"/>
  <c r="W56" i="44" s="1"/>
  <c r="V55" i="44"/>
  <c r="W55" i="44" s="1"/>
  <c r="V54" i="44"/>
  <c r="W54" i="44" s="1"/>
  <c r="V53" i="44"/>
  <c r="W53" i="44" s="1"/>
  <c r="V52" i="44"/>
  <c r="W52" i="44" s="1"/>
  <c r="V51" i="44"/>
  <c r="W51" i="44" s="1"/>
  <c r="V50" i="44"/>
  <c r="W50" i="44" s="1"/>
  <c r="V49" i="44"/>
  <c r="W49" i="44" s="1"/>
  <c r="V48" i="44"/>
  <c r="W48" i="44" s="1"/>
  <c r="V47" i="44"/>
  <c r="W47" i="44" s="1"/>
  <c r="V46" i="44"/>
  <c r="W46" i="44" s="1"/>
  <c r="V45" i="44"/>
  <c r="W45" i="44" s="1"/>
  <c r="V44" i="44"/>
  <c r="W44" i="44" s="1"/>
  <c r="V43" i="44"/>
  <c r="W43" i="44" s="1"/>
  <c r="V42" i="44"/>
  <c r="W42" i="44" s="1"/>
  <c r="F41" i="44"/>
  <c r="V76" i="44" l="1"/>
  <c r="W76" i="44" s="1"/>
  <c r="U37" i="44" l="1"/>
  <c r="T37" i="44"/>
  <c r="S37" i="44"/>
  <c r="R37" i="44"/>
  <c r="Q37" i="44"/>
  <c r="P37" i="44"/>
  <c r="O37" i="44"/>
  <c r="N37" i="44"/>
  <c r="M37" i="44"/>
  <c r="L37" i="44"/>
  <c r="K37" i="44"/>
  <c r="J37" i="44"/>
  <c r="I37" i="44"/>
  <c r="H37" i="44"/>
  <c r="V36" i="44"/>
  <c r="W36" i="44" s="1"/>
  <c r="V35" i="44"/>
  <c r="W35" i="44" s="1"/>
  <c r="V34" i="44"/>
  <c r="W34" i="44" s="1"/>
  <c r="V33" i="44"/>
  <c r="W33" i="44" s="1"/>
  <c r="V32" i="44"/>
  <c r="W32" i="44" s="1"/>
  <c r="V31" i="44"/>
  <c r="W31" i="44" s="1"/>
  <c r="V30" i="44"/>
  <c r="W30" i="44" s="1"/>
  <c r="V29" i="44"/>
  <c r="W29" i="44" s="1"/>
  <c r="V28" i="44"/>
  <c r="W28" i="44" s="1"/>
  <c r="V27" i="44"/>
  <c r="W27" i="44" s="1"/>
  <c r="V26" i="44"/>
  <c r="W26" i="44" s="1"/>
  <c r="V25" i="44"/>
  <c r="W25" i="44" s="1"/>
  <c r="V24" i="44"/>
  <c r="W24" i="44" s="1"/>
  <c r="V22" i="44"/>
  <c r="W22" i="44" s="1"/>
  <c r="V21" i="44"/>
  <c r="W21" i="44" s="1"/>
  <c r="V20" i="44"/>
  <c r="W20" i="44" s="1"/>
  <c r="V19" i="44"/>
  <c r="W19" i="44" s="1"/>
  <c r="V18" i="44"/>
  <c r="W18" i="44" s="1"/>
  <c r="V17" i="44"/>
  <c r="W17" i="44" s="1"/>
  <c r="V16" i="44"/>
  <c r="W16" i="44" s="1"/>
  <c r="V15" i="44"/>
  <c r="W15" i="44" s="1"/>
  <c r="V14" i="44"/>
  <c r="W14" i="44" s="1"/>
  <c r="V13" i="44"/>
  <c r="W13" i="44" s="1"/>
  <c r="V12" i="44"/>
  <c r="W12" i="44" s="1"/>
  <c r="V11" i="44"/>
  <c r="W11" i="44" s="1"/>
  <c r="V10" i="44"/>
  <c r="W10" i="44" s="1"/>
  <c r="V9" i="44"/>
  <c r="W9" i="44" s="1"/>
  <c r="V8" i="44"/>
  <c r="W8" i="44" s="1"/>
  <c r="V7" i="44"/>
  <c r="W7" i="44" s="1"/>
  <c r="V6" i="44"/>
  <c r="W6" i="44" s="1"/>
  <c r="V5" i="44"/>
  <c r="W5" i="44" s="1"/>
  <c r="V4" i="44"/>
  <c r="W4" i="44" s="1"/>
  <c r="V3" i="44"/>
  <c r="F2" i="44"/>
  <c r="T79" i="45"/>
  <c r="U79" i="45" s="1"/>
  <c r="T85" i="45"/>
  <c r="U85" i="45" s="1"/>
  <c r="V37" i="44" l="1"/>
  <c r="W37" i="44" s="1"/>
  <c r="S86" i="45"/>
  <c r="R86" i="45"/>
  <c r="Q86" i="45"/>
  <c r="P86" i="45"/>
  <c r="O86" i="45"/>
  <c r="N86" i="45"/>
  <c r="M86" i="45"/>
  <c r="L86" i="45"/>
  <c r="K86" i="45"/>
  <c r="J86" i="45"/>
  <c r="I86" i="45"/>
  <c r="H86" i="45"/>
  <c r="T84" i="45"/>
  <c r="U84" i="45" s="1"/>
  <c r="T83" i="45"/>
  <c r="U83" i="45" s="1"/>
  <c r="T82" i="45"/>
  <c r="U82" i="45" s="1"/>
  <c r="T81" i="45"/>
  <c r="U81" i="45" s="1"/>
  <c r="T80" i="45"/>
  <c r="U80" i="45" s="1"/>
  <c r="T78" i="45"/>
  <c r="U78" i="45" s="1"/>
  <c r="T77" i="45"/>
  <c r="U77" i="45" s="1"/>
  <c r="T75" i="45"/>
  <c r="U75" i="45" s="1"/>
  <c r="T74" i="45"/>
  <c r="U74" i="45" s="1"/>
  <c r="T73" i="45"/>
  <c r="U73" i="45" s="1"/>
  <c r="T72" i="45"/>
  <c r="U72" i="45" s="1"/>
  <c r="T71" i="45"/>
  <c r="U71" i="45" s="1"/>
  <c r="T70" i="45"/>
  <c r="U70" i="45" s="1"/>
  <c r="T69" i="45"/>
  <c r="U69" i="45" s="1"/>
  <c r="T68" i="45"/>
  <c r="U68" i="45" s="1"/>
  <c r="T67" i="45"/>
  <c r="U67" i="45" s="1"/>
  <c r="T66" i="45"/>
  <c r="U66" i="45" s="1"/>
  <c r="T65" i="45"/>
  <c r="U65" i="45" s="1"/>
  <c r="T64" i="45"/>
  <c r="U64" i="45" s="1"/>
  <c r="T63" i="45"/>
  <c r="U63" i="45" s="1"/>
  <c r="T62" i="45"/>
  <c r="U62" i="45" s="1"/>
  <c r="T61" i="45"/>
  <c r="U61" i="45" s="1"/>
  <c r="T60" i="45"/>
  <c r="U60" i="45" s="1"/>
  <c r="T59" i="45"/>
  <c r="U59" i="45" s="1"/>
  <c r="T58" i="45"/>
  <c r="U58" i="45" s="1"/>
  <c r="T57" i="45"/>
  <c r="U57" i="45" s="1"/>
  <c r="T56" i="45"/>
  <c r="U56" i="45" s="1"/>
  <c r="T55" i="45"/>
  <c r="U55" i="45" s="1"/>
  <c r="T54" i="45"/>
  <c r="U54" i="45" s="1"/>
  <c r="T53" i="45"/>
  <c r="U53" i="45" s="1"/>
  <c r="T52" i="45"/>
  <c r="U52" i="45" s="1"/>
  <c r="T51" i="45"/>
  <c r="U51" i="45" s="1"/>
  <c r="T50" i="45"/>
  <c r="U50" i="45" s="1"/>
  <c r="T49" i="45"/>
  <c r="U49" i="45" s="1"/>
  <c r="T48" i="45"/>
  <c r="U48" i="45" s="1"/>
  <c r="T47" i="45"/>
  <c r="U47" i="45" s="1"/>
  <c r="F46" i="45"/>
  <c r="T86" i="45" l="1"/>
  <c r="U86" i="45" s="1"/>
  <c r="S42" i="45"/>
  <c r="R42" i="45"/>
  <c r="Q42" i="45"/>
  <c r="P42" i="45"/>
  <c r="O42" i="45"/>
  <c r="N42" i="45"/>
  <c r="M42" i="45"/>
  <c r="L42" i="45"/>
  <c r="K42" i="45"/>
  <c r="J42" i="45"/>
  <c r="I42" i="45"/>
  <c r="H42" i="45"/>
  <c r="T41" i="45"/>
  <c r="U41" i="45" s="1"/>
  <c r="T40" i="45"/>
  <c r="U40" i="45" s="1"/>
  <c r="T39" i="45"/>
  <c r="U39" i="45" s="1"/>
  <c r="T38" i="45"/>
  <c r="U38" i="45" s="1"/>
  <c r="T37" i="45"/>
  <c r="U37" i="45" s="1"/>
  <c r="T36" i="45"/>
  <c r="U36" i="45" s="1"/>
  <c r="T34" i="45"/>
  <c r="U34" i="45" s="1"/>
  <c r="T33" i="45"/>
  <c r="U33" i="45" s="1"/>
  <c r="T31" i="45"/>
  <c r="U31" i="45" s="1"/>
  <c r="T30" i="45"/>
  <c r="U30" i="45" s="1"/>
  <c r="T29" i="45"/>
  <c r="U29" i="45" s="1"/>
  <c r="T28" i="45"/>
  <c r="U28" i="45" s="1"/>
  <c r="T27" i="45"/>
  <c r="U27" i="45" s="1"/>
  <c r="T26" i="45"/>
  <c r="U26" i="45" s="1"/>
  <c r="T25" i="45"/>
  <c r="U25" i="45" s="1"/>
  <c r="T24" i="45"/>
  <c r="U24" i="45" s="1"/>
  <c r="T23" i="45"/>
  <c r="U23" i="45" s="1"/>
  <c r="T22" i="45"/>
  <c r="U22" i="45" s="1"/>
  <c r="T21" i="45"/>
  <c r="U21" i="45" s="1"/>
  <c r="T20" i="45"/>
  <c r="U20" i="45" s="1"/>
  <c r="T19" i="45"/>
  <c r="U19" i="45" s="1"/>
  <c r="T18" i="45"/>
  <c r="U18" i="45" s="1"/>
  <c r="T17" i="45"/>
  <c r="U17" i="45" s="1"/>
  <c r="T16" i="45"/>
  <c r="U16" i="45" s="1"/>
  <c r="T15" i="45"/>
  <c r="U15" i="45" s="1"/>
  <c r="T14" i="45"/>
  <c r="U14" i="45" s="1"/>
  <c r="T13" i="45"/>
  <c r="U13" i="45" s="1"/>
  <c r="T12" i="45"/>
  <c r="U12" i="45" s="1"/>
  <c r="T11" i="45"/>
  <c r="U11" i="45" s="1"/>
  <c r="T10" i="45"/>
  <c r="U10" i="45" s="1"/>
  <c r="T9" i="45"/>
  <c r="U9" i="45" s="1"/>
  <c r="T8" i="45"/>
  <c r="U8" i="45" s="1"/>
  <c r="T7" i="45"/>
  <c r="U7" i="45" s="1"/>
  <c r="T6" i="45"/>
  <c r="U6" i="45" s="1"/>
  <c r="T5" i="45"/>
  <c r="U5" i="45" s="1"/>
  <c r="T4" i="45"/>
  <c r="U4" i="45" s="1"/>
  <c r="T3" i="45"/>
  <c r="U3" i="45" s="1"/>
  <c r="F2" i="45"/>
  <c r="T42" i="45" l="1"/>
  <c r="U42" i="45" s="1"/>
  <c r="E28" i="43" l="1"/>
  <c r="S42" i="46" l="1"/>
  <c r="R42" i="46"/>
  <c r="Q42" i="46"/>
  <c r="P42" i="46"/>
  <c r="O42" i="46"/>
  <c r="N42" i="46"/>
  <c r="M42" i="46"/>
  <c r="L42" i="46"/>
  <c r="K42" i="46"/>
  <c r="J42" i="46"/>
  <c r="I42" i="46"/>
  <c r="H42" i="46"/>
  <c r="T41" i="46"/>
  <c r="U41" i="46" s="1"/>
  <c r="T40" i="46"/>
  <c r="T39" i="46"/>
  <c r="T38" i="46"/>
  <c r="U38" i="46" s="1"/>
  <c r="T37" i="46"/>
  <c r="U37" i="46" s="1"/>
  <c r="T36" i="46"/>
  <c r="T35" i="46"/>
  <c r="U35" i="46" s="1"/>
  <c r="T34" i="46"/>
  <c r="T32" i="46"/>
  <c r="T31" i="46"/>
  <c r="U31" i="46" s="1"/>
  <c r="T30" i="46"/>
  <c r="U30" i="46" s="1"/>
  <c r="T29" i="46"/>
  <c r="T28" i="46"/>
  <c r="U28" i="46" s="1"/>
  <c r="T27" i="46"/>
  <c r="T26" i="46"/>
  <c r="T25" i="46"/>
  <c r="U25" i="46" s="1"/>
  <c r="T24" i="46"/>
  <c r="T23" i="46"/>
  <c r="T22" i="46"/>
  <c r="U22" i="46" s="1"/>
  <c r="T21" i="46"/>
  <c r="T20" i="46"/>
  <c r="T19" i="46"/>
  <c r="U19" i="46" s="1"/>
  <c r="T18" i="46"/>
  <c r="T17" i="46"/>
  <c r="T16" i="46"/>
  <c r="U16" i="46" s="1"/>
  <c r="T15" i="46"/>
  <c r="T14" i="46"/>
  <c r="T13" i="46"/>
  <c r="U13" i="46" s="1"/>
  <c r="T12" i="46"/>
  <c r="T11" i="46"/>
  <c r="T10" i="46"/>
  <c r="U10" i="46" s="1"/>
  <c r="T9" i="46"/>
  <c r="T8" i="46"/>
  <c r="T7" i="46"/>
  <c r="U7" i="46" s="1"/>
  <c r="T6" i="46"/>
  <c r="U6" i="46" s="1"/>
  <c r="T5" i="46"/>
  <c r="T4" i="46"/>
  <c r="U4" i="46" s="1"/>
  <c r="T3" i="46"/>
  <c r="F2" i="46"/>
  <c r="U18" i="46" l="1"/>
  <c r="U24" i="46"/>
  <c r="U12" i="46"/>
  <c r="U15" i="46"/>
  <c r="U21" i="46"/>
  <c r="U27" i="46"/>
  <c r="U34" i="46"/>
  <c r="U40" i="46"/>
  <c r="U9" i="46"/>
  <c r="T42" i="46"/>
  <c r="U42" i="46" s="1"/>
  <c r="U3" i="46"/>
  <c r="U5" i="46"/>
  <c r="U8" i="46"/>
  <c r="U11" i="46"/>
  <c r="U14" i="46"/>
  <c r="U17" i="46"/>
  <c r="U20" i="46"/>
  <c r="U23" i="46"/>
  <c r="U26" i="46"/>
  <c r="U29" i="46"/>
  <c r="U32" i="46"/>
  <c r="U36" i="46"/>
  <c r="U39" i="46"/>
  <c r="R39" i="53" l="1"/>
  <c r="W39" i="53" l="1"/>
  <c r="T39" i="53"/>
  <c r="S39" i="53"/>
  <c r="Q39" i="53"/>
  <c r="P39" i="53"/>
  <c r="O39" i="53"/>
  <c r="N39" i="53"/>
  <c r="M39" i="53"/>
  <c r="L39" i="53"/>
  <c r="K39" i="53"/>
  <c r="J39" i="53"/>
  <c r="I39" i="53"/>
  <c r="H39" i="53"/>
  <c r="W38" i="53"/>
  <c r="U38" i="53"/>
  <c r="V38" i="53" s="1"/>
  <c r="W37" i="53"/>
  <c r="U37" i="53"/>
  <c r="V37" i="53" s="1"/>
  <c r="W36" i="53"/>
  <c r="U36" i="53"/>
  <c r="V36" i="53" s="1"/>
  <c r="W35" i="53"/>
  <c r="U35" i="53"/>
  <c r="V35" i="53" s="1"/>
  <c r="W34" i="53"/>
  <c r="U34" i="53"/>
  <c r="V34" i="53" s="1"/>
  <c r="W33" i="53"/>
  <c r="U33" i="53"/>
  <c r="Y33" i="53" s="1"/>
  <c r="W32" i="53"/>
  <c r="U32" i="53"/>
  <c r="V32" i="53" s="1"/>
  <c r="Y31" i="53"/>
  <c r="W30" i="53"/>
  <c r="U30" i="53"/>
  <c r="W29" i="53"/>
  <c r="U29" i="53"/>
  <c r="V29" i="53" s="1"/>
  <c r="W28" i="53"/>
  <c r="U28" i="53"/>
  <c r="Y28" i="53" s="1"/>
  <c r="W27" i="53"/>
  <c r="U27" i="53"/>
  <c r="W26" i="53"/>
  <c r="U26" i="53"/>
  <c r="V26" i="53" s="1"/>
  <c r="W25" i="53"/>
  <c r="U25" i="53"/>
  <c r="Y25" i="53" s="1"/>
  <c r="W24" i="53"/>
  <c r="U24" i="53"/>
  <c r="V24" i="53" s="1"/>
  <c r="W23" i="53"/>
  <c r="U23" i="53"/>
  <c r="V23" i="53" s="1"/>
  <c r="W22" i="53"/>
  <c r="U22" i="53"/>
  <c r="W21" i="53"/>
  <c r="U21" i="53"/>
  <c r="W20" i="53"/>
  <c r="U20" i="53"/>
  <c r="W19" i="53"/>
  <c r="U19" i="53"/>
  <c r="W18" i="53"/>
  <c r="U18" i="53"/>
  <c r="W17" i="53"/>
  <c r="U17" i="53"/>
  <c r="W16" i="53"/>
  <c r="U16" i="53"/>
  <c r="V16" i="53" s="1"/>
  <c r="W15" i="53"/>
  <c r="U15" i="53"/>
  <c r="W14" i="53"/>
  <c r="U14" i="53"/>
  <c r="W13" i="53"/>
  <c r="U13" i="53"/>
  <c r="W12" i="53"/>
  <c r="U12" i="53"/>
  <c r="V12" i="53" s="1"/>
  <c r="W11" i="53"/>
  <c r="U11" i="53"/>
  <c r="Y11" i="53" s="1"/>
  <c r="W10" i="53"/>
  <c r="U10" i="53"/>
  <c r="W9" i="53"/>
  <c r="U9" i="53"/>
  <c r="R25" i="59" s="1"/>
  <c r="W8" i="53"/>
  <c r="U8" i="53"/>
  <c r="W7" i="53"/>
  <c r="U7" i="53"/>
  <c r="V7" i="53" s="1"/>
  <c r="W6" i="53"/>
  <c r="U6" i="53"/>
  <c r="W5" i="53"/>
  <c r="U5" i="53"/>
  <c r="U4" i="53"/>
  <c r="W3" i="53"/>
  <c r="U3" i="53"/>
  <c r="R11" i="59" s="1"/>
  <c r="F2" i="53"/>
  <c r="V13" i="53" l="1"/>
  <c r="R8" i="59"/>
  <c r="Y17" i="53"/>
  <c r="R7" i="59"/>
  <c r="V21" i="53"/>
  <c r="R18" i="59"/>
  <c r="Y5" i="53"/>
  <c r="R6" i="59"/>
  <c r="V15" i="53"/>
  <c r="R14" i="59"/>
  <c r="Y19" i="53"/>
  <c r="R23" i="59"/>
  <c r="V27" i="53"/>
  <c r="R17" i="59"/>
  <c r="V6" i="53"/>
  <c r="R5" i="59"/>
  <c r="V10" i="53"/>
  <c r="R10" i="59"/>
  <c r="V18" i="53"/>
  <c r="R21" i="59"/>
  <c r="Y22" i="53"/>
  <c r="R15" i="59"/>
  <c r="V30" i="53"/>
  <c r="R12" i="59"/>
  <c r="Y8" i="53"/>
  <c r="R22" i="59"/>
  <c r="Y14" i="53"/>
  <c r="R16" i="59"/>
  <c r="V20" i="53"/>
  <c r="R9" i="59"/>
  <c r="V4" i="53"/>
  <c r="R13" i="59"/>
  <c r="V9" i="53"/>
  <c r="Y23" i="53"/>
  <c r="Y15" i="53"/>
  <c r="Y3" i="53"/>
  <c r="V3" i="53"/>
  <c r="Y36" i="53"/>
  <c r="V17" i="53"/>
  <c r="V33" i="53"/>
  <c r="Y12" i="53"/>
  <c r="Y29" i="53"/>
  <c r="Y34" i="53"/>
  <c r="Y9" i="53"/>
  <c r="Y26" i="53"/>
  <c r="Y37" i="53"/>
  <c r="Y20" i="53"/>
  <c r="Y6" i="53"/>
  <c r="U39" i="53"/>
  <c r="Y39" i="53" s="1"/>
  <c r="Y32" i="53"/>
  <c r="Y35" i="53"/>
  <c r="Y38" i="53"/>
  <c r="Y7" i="53"/>
  <c r="Y10" i="53"/>
  <c r="Y13" i="53"/>
  <c r="Y21" i="53"/>
  <c r="Y24" i="53"/>
  <c r="Y27" i="53"/>
  <c r="Y30" i="53"/>
  <c r="V5" i="53"/>
  <c r="V8" i="53"/>
  <c r="V11" i="53"/>
  <c r="V14" i="53"/>
  <c r="V19" i="53"/>
  <c r="V22" i="53"/>
  <c r="V25" i="53"/>
  <c r="V28" i="53"/>
  <c r="V39" i="53" l="1"/>
  <c r="N51" i="42" l="1"/>
  <c r="N47" i="42"/>
  <c r="N46" i="42"/>
  <c r="N44" i="42"/>
  <c r="M43" i="42"/>
  <c r="N43" i="42" s="1"/>
  <c r="N41" i="42"/>
  <c r="N40" i="42"/>
  <c r="N39" i="42"/>
  <c r="N38" i="42"/>
  <c r="N37" i="42"/>
  <c r="N36" i="42"/>
  <c r="N33" i="42"/>
  <c r="N32" i="42"/>
  <c r="N27" i="42"/>
  <c r="M25" i="42"/>
  <c r="M24" i="42"/>
  <c r="M23" i="42"/>
  <c r="N23" i="42" s="1"/>
  <c r="M22" i="42"/>
  <c r="M21" i="42"/>
  <c r="M20" i="42"/>
  <c r="N20" i="42" s="1"/>
  <c r="M19" i="42"/>
  <c r="N19" i="42" s="1"/>
  <c r="M14" i="42"/>
  <c r="M13" i="42"/>
  <c r="N13" i="42" s="1"/>
  <c r="M12" i="42"/>
  <c r="M11" i="42"/>
  <c r="M10" i="42"/>
  <c r="M9" i="42"/>
  <c r="M8" i="42"/>
  <c r="M7" i="42"/>
  <c r="M6" i="42"/>
  <c r="M5" i="42"/>
  <c r="M4" i="42"/>
  <c r="N4" i="42" s="1"/>
  <c r="N7" i="42" l="1"/>
  <c r="N10" i="42"/>
  <c r="N29" i="42"/>
  <c r="N49" i="42"/>
  <c r="N50" i="42"/>
  <c r="M52" i="42"/>
  <c r="N52" i="42" s="1"/>
  <c r="N6" i="42"/>
  <c r="N9" i="42"/>
  <c r="N12" i="42"/>
  <c r="N22" i="42"/>
  <c r="N25" i="42"/>
  <c r="N28" i="42"/>
  <c r="N31" i="42"/>
  <c r="N34" i="42"/>
  <c r="N48" i="42"/>
  <c r="N5" i="42"/>
  <c r="N8" i="42"/>
  <c r="N11" i="42"/>
  <c r="N14" i="42"/>
  <c r="N21" i="42"/>
  <c r="N24" i="42"/>
  <c r="N42" i="42"/>
  <c r="N45" i="42"/>
  <c r="T41" i="57" l="1"/>
  <c r="T33" i="57"/>
  <c r="T34" i="57"/>
  <c r="T35" i="57"/>
  <c r="T36" i="57"/>
  <c r="T37" i="57"/>
  <c r="T38" i="57"/>
  <c r="T39" i="57"/>
  <c r="T40" i="57"/>
  <c r="R9" i="61" s="1"/>
  <c r="T32" i="57"/>
  <c r="T30" i="57"/>
  <c r="T4" i="57"/>
  <c r="R21" i="61" s="1"/>
  <c r="T5" i="57"/>
  <c r="R17" i="61" s="1"/>
  <c r="T6" i="57"/>
  <c r="R5" i="61" s="1"/>
  <c r="T7" i="57"/>
  <c r="T8" i="57"/>
  <c r="R12" i="61" s="1"/>
  <c r="T9" i="57"/>
  <c r="R11" i="61" s="1"/>
  <c r="T10" i="57"/>
  <c r="R18" i="61" s="1"/>
  <c r="T11" i="57"/>
  <c r="T12" i="57"/>
  <c r="T13" i="57"/>
  <c r="R8" i="61" s="1"/>
  <c r="T14" i="57"/>
  <c r="R13" i="61" s="1"/>
  <c r="T15" i="57"/>
  <c r="T16" i="57"/>
  <c r="T17" i="57"/>
  <c r="R6" i="61" s="1"/>
  <c r="T18" i="57"/>
  <c r="R20" i="61" s="1"/>
  <c r="T19" i="57"/>
  <c r="R22" i="61" s="1"/>
  <c r="T20" i="57"/>
  <c r="R15" i="61" s="1"/>
  <c r="T21" i="57"/>
  <c r="R16" i="61" s="1"/>
  <c r="T22" i="57"/>
  <c r="R24" i="61" s="1"/>
  <c r="T23" i="57"/>
  <c r="T24" i="57"/>
  <c r="T25" i="57"/>
  <c r="T26" i="57"/>
  <c r="T27" i="57"/>
  <c r="R10" i="61" s="1"/>
  <c r="T28" i="57"/>
  <c r="T29" i="57"/>
  <c r="T3" i="57"/>
  <c r="R7" i="61" s="1"/>
  <c r="U4" i="57" l="1"/>
  <c r="U4" i="56" l="1"/>
  <c r="V31" i="56"/>
  <c r="V4" i="56" l="1"/>
  <c r="R20" i="60"/>
  <c r="W39" i="56"/>
  <c r="T39" i="56"/>
  <c r="S39" i="56"/>
  <c r="R39" i="56"/>
  <c r="Q39" i="56"/>
  <c r="P39" i="56"/>
  <c r="O39" i="56"/>
  <c r="N39" i="56"/>
  <c r="M39" i="56"/>
  <c r="L39" i="56"/>
  <c r="K39" i="56"/>
  <c r="J39" i="56"/>
  <c r="I39" i="56"/>
  <c r="H39" i="56"/>
  <c r="W38" i="56"/>
  <c r="U38" i="56"/>
  <c r="V38" i="56" s="1"/>
  <c r="W37" i="56"/>
  <c r="U37" i="56"/>
  <c r="R15" i="60" s="1"/>
  <c r="W36" i="56"/>
  <c r="U36" i="56"/>
  <c r="W35" i="56"/>
  <c r="U35" i="56"/>
  <c r="V35" i="56" s="1"/>
  <c r="W34" i="56"/>
  <c r="U34" i="56"/>
  <c r="V34" i="56" s="1"/>
  <c r="W33" i="56"/>
  <c r="U33" i="56"/>
  <c r="W32" i="56"/>
  <c r="U32" i="56"/>
  <c r="V32" i="56" s="1"/>
  <c r="Y31" i="56"/>
  <c r="W30" i="56"/>
  <c r="U30" i="56"/>
  <c r="V30" i="56" s="1"/>
  <c r="W29" i="56"/>
  <c r="U29" i="56"/>
  <c r="V29" i="56" s="1"/>
  <c r="W28" i="56"/>
  <c r="U28" i="56"/>
  <c r="W27" i="56"/>
  <c r="U27" i="56"/>
  <c r="W26" i="56"/>
  <c r="U26" i="56"/>
  <c r="W25" i="56"/>
  <c r="U25" i="56"/>
  <c r="W24" i="56"/>
  <c r="U24" i="56"/>
  <c r="V24" i="56" s="1"/>
  <c r="W23" i="56"/>
  <c r="U23" i="56"/>
  <c r="V23" i="56" s="1"/>
  <c r="W22" i="56"/>
  <c r="U22" i="56"/>
  <c r="R11" i="60" s="1"/>
  <c r="W21" i="56"/>
  <c r="U21" i="56"/>
  <c r="W20" i="56"/>
  <c r="U20" i="56"/>
  <c r="R12" i="60" s="1"/>
  <c r="W19" i="56"/>
  <c r="U19" i="56"/>
  <c r="R21" i="60" s="1"/>
  <c r="W18" i="56"/>
  <c r="U18" i="56"/>
  <c r="W17" i="56"/>
  <c r="U17" i="56"/>
  <c r="R5" i="60" s="1"/>
  <c r="W16" i="56"/>
  <c r="U16" i="56"/>
  <c r="V16" i="56" s="1"/>
  <c r="W15" i="56"/>
  <c r="U15" i="56"/>
  <c r="R9" i="60" s="1"/>
  <c r="W14" i="56"/>
  <c r="U14" i="56"/>
  <c r="R16" i="60" s="1"/>
  <c r="W13" i="56"/>
  <c r="U13" i="56"/>
  <c r="W12" i="56"/>
  <c r="U12" i="56"/>
  <c r="W11" i="56"/>
  <c r="U11" i="56"/>
  <c r="W10" i="56"/>
  <c r="U10" i="56"/>
  <c r="V10" i="56" s="1"/>
  <c r="W9" i="56"/>
  <c r="U9" i="56"/>
  <c r="R23" i="60" s="1"/>
  <c r="W8" i="56"/>
  <c r="U8" i="56"/>
  <c r="R6" i="60" s="1"/>
  <c r="W7" i="56"/>
  <c r="U7" i="56"/>
  <c r="V7" i="56" s="1"/>
  <c r="W6" i="56"/>
  <c r="U6" i="56"/>
  <c r="W5" i="56"/>
  <c r="U5" i="56"/>
  <c r="R10" i="60" s="1"/>
  <c r="W3" i="56"/>
  <c r="U3" i="56"/>
  <c r="V3" i="56" s="1"/>
  <c r="F2" i="56"/>
  <c r="V21" i="56" l="1"/>
  <c r="R18" i="60"/>
  <c r="V13" i="56"/>
  <c r="R13" i="60"/>
  <c r="V6" i="56"/>
  <c r="R8" i="60"/>
  <c r="V18" i="56"/>
  <c r="R19" i="60"/>
  <c r="V27" i="56"/>
  <c r="R14" i="60"/>
  <c r="V12" i="56"/>
  <c r="R7" i="60"/>
  <c r="Y29" i="56"/>
  <c r="Y33" i="56"/>
  <c r="V33" i="56"/>
  <c r="Y36" i="56"/>
  <c r="V36" i="56"/>
  <c r="Y37" i="56"/>
  <c r="V37" i="56"/>
  <c r="Y14" i="56"/>
  <c r="V14" i="56"/>
  <c r="Y22" i="56"/>
  <c r="V22" i="56"/>
  <c r="Y26" i="56"/>
  <c r="V26" i="56"/>
  <c r="Y17" i="56"/>
  <c r="V17" i="56"/>
  <c r="Y8" i="56"/>
  <c r="V8" i="56"/>
  <c r="Y20" i="56"/>
  <c r="V20" i="56"/>
  <c r="Y28" i="56"/>
  <c r="V28" i="56"/>
  <c r="Y5" i="56"/>
  <c r="V5" i="56"/>
  <c r="Y9" i="56"/>
  <c r="V9" i="56"/>
  <c r="Y11" i="56"/>
  <c r="V11" i="56"/>
  <c r="Y15" i="56"/>
  <c r="V15" i="56"/>
  <c r="Y19" i="56"/>
  <c r="V19" i="56"/>
  <c r="Y25" i="56"/>
  <c r="V25" i="56"/>
  <c r="Y23" i="56"/>
  <c r="Y34" i="56"/>
  <c r="Y10" i="56"/>
  <c r="U39" i="56"/>
  <c r="Y12" i="56"/>
  <c r="Y6" i="56"/>
  <c r="Y3" i="56"/>
  <c r="Y21" i="56"/>
  <c r="Y27" i="56"/>
  <c r="Y7" i="56"/>
  <c r="Y13" i="56"/>
  <c r="Y24" i="56"/>
  <c r="Y30" i="56"/>
  <c r="Y32" i="56"/>
  <c r="Y35" i="56"/>
  <c r="Y38" i="56"/>
  <c r="Y39" i="56" l="1"/>
  <c r="V39" i="56"/>
  <c r="R12" i="49" l="1"/>
  <c r="R8" i="49"/>
  <c r="R21" i="49"/>
  <c r="R27" i="49"/>
  <c r="R5" i="49"/>
  <c r="R6" i="49"/>
  <c r="R16" i="49"/>
  <c r="R22" i="49"/>
  <c r="R28" i="49"/>
  <c r="R20" i="49"/>
  <c r="R13" i="49"/>
  <c r="R17" i="49"/>
  <c r="R23" i="49"/>
  <c r="R9" i="49"/>
  <c r="R7" i="49"/>
  <c r="R10" i="49"/>
  <c r="R14" i="49"/>
  <c r="R18" i="49"/>
  <c r="R24" i="49"/>
  <c r="R26" i="49"/>
  <c r="R11" i="49"/>
  <c r="R15" i="49"/>
  <c r="R19" i="49"/>
  <c r="R25" i="49"/>
  <c r="E24" i="43"/>
  <c r="B24" i="61" l="1"/>
  <c r="E23" i="61"/>
  <c r="E24" i="61"/>
  <c r="E25" i="61"/>
  <c r="E26" i="61"/>
  <c r="E27" i="61"/>
  <c r="E28" i="61"/>
  <c r="D24" i="61"/>
  <c r="D25" i="61"/>
  <c r="D26" i="61"/>
  <c r="D27" i="61"/>
  <c r="D28" i="61"/>
  <c r="C23" i="61"/>
  <c r="C24" i="61"/>
  <c r="C25" i="61"/>
  <c r="C26" i="61"/>
  <c r="C27" i="61"/>
  <c r="C28" i="61"/>
  <c r="B23" i="61"/>
  <c r="B25" i="61"/>
  <c r="B26" i="61"/>
  <c r="B27" i="61"/>
  <c r="B28" i="61"/>
  <c r="E23" i="60" l="1"/>
  <c r="E24" i="60"/>
  <c r="E25" i="60"/>
  <c r="E26" i="60"/>
  <c r="E27" i="60"/>
  <c r="E28" i="60"/>
  <c r="D24" i="60"/>
  <c r="D25" i="60"/>
  <c r="D26" i="60"/>
  <c r="D27" i="60"/>
  <c r="D28" i="60"/>
  <c r="C23" i="60"/>
  <c r="C24" i="60"/>
  <c r="C25" i="60"/>
  <c r="C26" i="60"/>
  <c r="C27" i="60"/>
  <c r="C28" i="60"/>
  <c r="B23" i="60"/>
  <c r="B24" i="60"/>
  <c r="B25" i="60"/>
  <c r="B26" i="60"/>
  <c r="B27" i="60"/>
  <c r="B28" i="60"/>
  <c r="B24" i="59" l="1"/>
  <c r="E23" i="59" l="1"/>
  <c r="E24" i="59"/>
  <c r="E25" i="59"/>
  <c r="E26" i="59"/>
  <c r="E27" i="59"/>
  <c r="E28" i="59"/>
  <c r="B23" i="59"/>
  <c r="B25" i="59"/>
  <c r="B26" i="59"/>
  <c r="B27" i="59"/>
  <c r="B28" i="59"/>
  <c r="C23" i="59"/>
  <c r="C24" i="59"/>
  <c r="C25" i="59"/>
  <c r="C26" i="59"/>
  <c r="C27" i="59"/>
  <c r="C28" i="59"/>
  <c r="D23" i="59"/>
  <c r="D24" i="59"/>
  <c r="D25" i="59"/>
  <c r="D26" i="59"/>
  <c r="D27" i="59"/>
  <c r="D28" i="59"/>
  <c r="D29" i="59" l="1"/>
  <c r="D23" i="60"/>
  <c r="D29" i="60" s="1"/>
  <c r="V42" i="57" l="1"/>
  <c r="S42" i="57"/>
  <c r="R42" i="57"/>
  <c r="Q42" i="57"/>
  <c r="P42" i="57"/>
  <c r="O42" i="57"/>
  <c r="N42" i="57"/>
  <c r="M42" i="57"/>
  <c r="L42" i="57"/>
  <c r="K42" i="57"/>
  <c r="J42" i="57"/>
  <c r="I42" i="57"/>
  <c r="H42" i="57"/>
  <c r="V41" i="57"/>
  <c r="V40" i="57"/>
  <c r="U40" i="57"/>
  <c r="V39" i="57"/>
  <c r="U39" i="57"/>
  <c r="V38" i="57"/>
  <c r="V37" i="57"/>
  <c r="U37" i="57"/>
  <c r="U36" i="57"/>
  <c r="U35" i="57"/>
  <c r="U34" i="57"/>
  <c r="V33" i="57"/>
  <c r="U33" i="57"/>
  <c r="V32" i="57"/>
  <c r="X31" i="57"/>
  <c r="V30" i="57"/>
  <c r="V29" i="57"/>
  <c r="U29" i="57"/>
  <c r="V28" i="57"/>
  <c r="V27" i="57"/>
  <c r="V26" i="57"/>
  <c r="U26" i="57"/>
  <c r="V25" i="57"/>
  <c r="V24" i="57"/>
  <c r="V23" i="57"/>
  <c r="U23" i="57"/>
  <c r="V22" i="57"/>
  <c r="V21" i="57"/>
  <c r="V20" i="57"/>
  <c r="U20" i="57"/>
  <c r="V19" i="57"/>
  <c r="V18" i="57"/>
  <c r="U18" i="57"/>
  <c r="V17" i="57"/>
  <c r="V16" i="57"/>
  <c r="U16" i="57"/>
  <c r="V15" i="57"/>
  <c r="U15" i="57"/>
  <c r="V14" i="57"/>
  <c r="V13" i="57"/>
  <c r="V12" i="57"/>
  <c r="U12" i="57"/>
  <c r="V11" i="57"/>
  <c r="V10" i="57"/>
  <c r="V9" i="57"/>
  <c r="U9" i="57"/>
  <c r="V8" i="57"/>
  <c r="V7" i="57"/>
  <c r="V6" i="57"/>
  <c r="U6" i="57"/>
  <c r="V5" i="57"/>
  <c r="V3" i="57"/>
  <c r="U3" i="57"/>
  <c r="F2" i="57"/>
  <c r="D23" i="61" s="1"/>
  <c r="D29" i="61" s="1"/>
  <c r="T42" i="57" l="1"/>
  <c r="X14" i="57"/>
  <c r="U14" i="57"/>
  <c r="X25" i="57"/>
  <c r="U25" i="57"/>
  <c r="X41" i="57"/>
  <c r="U41" i="57"/>
  <c r="X22" i="57"/>
  <c r="U22" i="57"/>
  <c r="X23" i="57"/>
  <c r="X32" i="57"/>
  <c r="U32" i="57"/>
  <c r="X21" i="57"/>
  <c r="U21" i="57"/>
  <c r="X8" i="57"/>
  <c r="U8" i="57"/>
  <c r="X10" i="57"/>
  <c r="U10" i="57"/>
  <c r="X27" i="57"/>
  <c r="U27" i="57"/>
  <c r="X5" i="57"/>
  <c r="U5" i="57"/>
  <c r="X7" i="57"/>
  <c r="U7" i="57"/>
  <c r="X11" i="57"/>
  <c r="U11" i="57"/>
  <c r="X13" i="57"/>
  <c r="U13" i="57"/>
  <c r="X17" i="57"/>
  <c r="U17" i="57"/>
  <c r="X19" i="57"/>
  <c r="U19" i="57"/>
  <c r="X20" i="57"/>
  <c r="X24" i="57"/>
  <c r="U24" i="57"/>
  <c r="X28" i="57"/>
  <c r="U28" i="57"/>
  <c r="X30" i="57"/>
  <c r="U30" i="57"/>
  <c r="X38" i="57"/>
  <c r="U38" i="57"/>
  <c r="X39" i="57"/>
  <c r="X33" i="57"/>
  <c r="X37" i="57"/>
  <c r="X3" i="57"/>
  <c r="X9" i="57"/>
  <c r="X29" i="57"/>
  <c r="X12" i="57"/>
  <c r="X40" i="57"/>
  <c r="X15" i="57"/>
  <c r="X6" i="57"/>
  <c r="X26" i="57"/>
  <c r="X42" i="57" l="1"/>
  <c r="U42" i="57"/>
  <c r="N38" i="51" l="1"/>
  <c r="G38" i="51"/>
  <c r="H38" i="51"/>
  <c r="I38" i="51"/>
  <c r="J38" i="51"/>
  <c r="K38" i="51"/>
  <c r="L38" i="51"/>
  <c r="M38" i="51"/>
  <c r="F38" i="51"/>
  <c r="E38" i="51"/>
  <c r="O12" i="51"/>
  <c r="P12" i="51" s="1"/>
  <c r="O13" i="51"/>
  <c r="P13" i="51" s="1"/>
  <c r="O14" i="51"/>
  <c r="P14" i="51" s="1"/>
  <c r="O15" i="51"/>
  <c r="P15" i="51" s="1"/>
  <c r="O16" i="51"/>
  <c r="P16" i="51" s="1"/>
  <c r="O17" i="51"/>
  <c r="P17" i="51" s="1"/>
  <c r="O18" i="51"/>
  <c r="P18" i="51" s="1"/>
  <c r="O19" i="51"/>
  <c r="P19" i="51" s="1"/>
  <c r="O20" i="51"/>
  <c r="P20" i="51" s="1"/>
  <c r="O21" i="51"/>
  <c r="P21" i="51" s="1"/>
  <c r="O22" i="51"/>
  <c r="P22" i="51" s="1"/>
  <c r="O23" i="51"/>
  <c r="P23" i="51" s="1"/>
  <c r="O24" i="51"/>
  <c r="P24" i="51" s="1"/>
  <c r="O25" i="51"/>
  <c r="P25" i="51" s="1"/>
  <c r="O26" i="51"/>
  <c r="P26" i="51" s="1"/>
  <c r="O27" i="51"/>
  <c r="P27" i="51" s="1"/>
  <c r="O28" i="51"/>
  <c r="P28" i="51" s="1"/>
  <c r="O29" i="51"/>
  <c r="P29" i="51" s="1"/>
  <c r="O30" i="51"/>
  <c r="P30" i="51" s="1"/>
  <c r="O31" i="51"/>
  <c r="P31" i="51" s="1"/>
  <c r="O32" i="51"/>
  <c r="P32" i="51" s="1"/>
  <c r="O33" i="51"/>
  <c r="P33" i="51" s="1"/>
  <c r="O34" i="51"/>
  <c r="P34" i="51" s="1"/>
  <c r="O35" i="51"/>
  <c r="P35" i="51" s="1"/>
  <c r="O36" i="51"/>
  <c r="P36" i="51" s="1"/>
  <c r="O37" i="51"/>
  <c r="P37" i="51" s="1"/>
  <c r="O11" i="51"/>
  <c r="P11" i="51" s="1"/>
  <c r="O10" i="51"/>
  <c r="P10" i="51" s="1"/>
  <c r="O38" i="51" l="1"/>
  <c r="P38" i="51" s="1"/>
  <c r="E23" i="50" l="1"/>
  <c r="B23" i="50" l="1"/>
  <c r="C23" i="50"/>
  <c r="B24" i="49" l="1"/>
  <c r="C24" i="49" l="1"/>
  <c r="E24" i="49"/>
  <c r="C24" i="43" l="1"/>
  <c r="E28" i="48" l="1"/>
  <c r="C28" i="48"/>
  <c r="C23" i="48"/>
  <c r="E23" i="48"/>
  <c r="E26" i="49" l="1"/>
  <c r="E27" i="49"/>
  <c r="C26" i="49"/>
  <c r="E23" i="49"/>
  <c r="C23" i="49"/>
  <c r="C27" i="49"/>
  <c r="C28" i="49"/>
  <c r="C25" i="49"/>
  <c r="E28" i="49"/>
  <c r="E25" i="49"/>
  <c r="B26" i="49" l="1"/>
  <c r="B28" i="49" l="1"/>
  <c r="B27" i="49"/>
  <c r="B25" i="49"/>
  <c r="D23" i="49"/>
  <c r="D29" i="49" s="1"/>
  <c r="B23" i="49"/>
  <c r="B23" i="48" l="1"/>
  <c r="B28" i="48" l="1"/>
  <c r="D25" i="49" l="1"/>
  <c r="D24" i="49"/>
  <c r="D28" i="48" l="1"/>
  <c r="B24" i="43" l="1"/>
  <c r="D23" i="48" l="1"/>
  <c r="D24" i="43" l="1"/>
  <c r="E27" i="50" l="1"/>
  <c r="C27" i="50"/>
  <c r="B27" i="50"/>
  <c r="D28" i="49" l="1"/>
  <c r="D27" i="50" l="1"/>
  <c r="D27" i="49" l="1"/>
  <c r="E25" i="43" l="1"/>
  <c r="E27" i="43"/>
  <c r="E26" i="43"/>
  <c r="E26" i="48"/>
  <c r="E23" i="43" l="1"/>
  <c r="D23" i="43"/>
  <c r="D26" i="43"/>
  <c r="B26" i="43"/>
  <c r="C26" i="43"/>
  <c r="C27" i="43"/>
  <c r="D27" i="43"/>
  <c r="B27" i="43"/>
  <c r="B28" i="43"/>
  <c r="C28" i="43"/>
  <c r="D28" i="43"/>
  <c r="B25" i="43"/>
  <c r="C25" i="43"/>
  <c r="D25" i="43"/>
  <c r="B23" i="43"/>
  <c r="C23" i="43"/>
  <c r="B27" i="48"/>
  <c r="C27" i="48"/>
  <c r="D27" i="48"/>
  <c r="E27" i="48"/>
  <c r="B26" i="48"/>
  <c r="C26" i="48"/>
  <c r="B25" i="48"/>
  <c r="C25" i="48"/>
  <c r="D25" i="48"/>
  <c r="E25" i="48"/>
  <c r="E24" i="48"/>
  <c r="B24" i="48"/>
  <c r="C24" i="48"/>
  <c r="D24" i="48"/>
  <c r="D31" i="43" l="1"/>
  <c r="D26" i="49"/>
  <c r="E24" i="50" l="1"/>
  <c r="E25" i="50"/>
  <c r="E26" i="50"/>
  <c r="E28" i="50"/>
  <c r="C24" i="50"/>
  <c r="C25" i="50"/>
  <c r="C26" i="50"/>
  <c r="C28" i="50"/>
  <c r="B24" i="50"/>
  <c r="B25" i="50"/>
  <c r="B26" i="50"/>
  <c r="B28" i="50"/>
  <c r="D28" i="50" l="1"/>
  <c r="D23" i="50"/>
  <c r="D24" i="50"/>
  <c r="D25" i="50"/>
  <c r="D26" i="50"/>
  <c r="D29" i="50" l="1"/>
  <c r="D26" i="48"/>
  <c r="D31" i="48" s="1"/>
  <c r="H3" i="63"/>
  <c r="H3" i="37"/>
</calcChain>
</file>

<file path=xl/sharedStrings.xml><?xml version="1.0" encoding="utf-8"?>
<sst xmlns="http://schemas.openxmlformats.org/spreadsheetml/2006/main" count="3953" uniqueCount="457">
  <si>
    <t>Jaw Short</t>
  </si>
  <si>
    <t>Yield %</t>
  </si>
  <si>
    <t>Scrap %</t>
  </si>
  <si>
    <t>Continuity Fail</t>
  </si>
  <si>
    <t>Total</t>
  </si>
  <si>
    <t>Rough Actuation of Jaw</t>
  </si>
  <si>
    <t>Comments</t>
  </si>
  <si>
    <t>High Jaw Force</t>
  </si>
  <si>
    <t>Low Jaw Force</t>
  </si>
  <si>
    <t>Scratched Logo</t>
  </si>
  <si>
    <t>Rough Knob Actuation</t>
  </si>
  <si>
    <t>Insulation Damage</t>
  </si>
  <si>
    <t>Misassembled</t>
  </si>
  <si>
    <t>0.003 Jaw Gap Fail</t>
  </si>
  <si>
    <t>0.006 Jaw Gap Fail</t>
  </si>
  <si>
    <t>Stuck Blade</t>
  </si>
  <si>
    <t>Yield</t>
  </si>
  <si>
    <t>Build QTY</t>
  </si>
  <si>
    <t>Rough Rotation Shaft Rotation</t>
  </si>
  <si>
    <t>Fuse Switch</t>
  </si>
  <si>
    <t>Description</t>
  </si>
  <si>
    <t>Shaft Level Scrap</t>
  </si>
  <si>
    <t>Shop Order</t>
  </si>
  <si>
    <t>Date</t>
  </si>
  <si>
    <t>Count</t>
  </si>
  <si>
    <t>Damaged actuation tube from nut setting</t>
  </si>
  <si>
    <t>Incorrect/Missing Weld</t>
  </si>
  <si>
    <t>Damaged Harness</t>
  </si>
  <si>
    <t>Squeaky Blade</t>
  </si>
  <si>
    <t>Blade Does Not Pass Front Stop</t>
  </si>
  <si>
    <t>Front Stops Not Touching</t>
  </si>
  <si>
    <t>Middle Stops Not Touching</t>
  </si>
  <si>
    <t>Both Not Touching</t>
  </si>
  <si>
    <t>Incorrect Insulation Orientation</t>
  </si>
  <si>
    <t>Jaw Isolation</t>
  </si>
  <si>
    <t>Damaged Component</t>
  </si>
  <si>
    <t>Discolored Jaws</t>
  </si>
  <si>
    <t>Incorrect Weld</t>
  </si>
  <si>
    <t>Gamma Audit</t>
  </si>
  <si>
    <t>Trigger Lock Failure</t>
  </si>
  <si>
    <t>Collapsed Front Stop</t>
  </si>
  <si>
    <t>Quality Control
Inspection</t>
  </si>
  <si>
    <t>Damaged Handle</t>
  </si>
  <si>
    <t>Blade Activation</t>
  </si>
  <si>
    <t>Rough Trigger</t>
  </si>
  <si>
    <t>Damaged Jaw</t>
  </si>
  <si>
    <t>Engineering Scrap</t>
  </si>
  <si>
    <t>Model</t>
  </si>
  <si>
    <t>Rough Jaw Actuation</t>
  </si>
  <si>
    <t>Average Yield:</t>
  </si>
  <si>
    <t>Scrap Breakdown (Last 3 S/O)</t>
  </si>
  <si>
    <t>Misaligned Hub</t>
  </si>
  <si>
    <t>S/O Qty</t>
  </si>
  <si>
    <t>1st Rework (New Shafts)</t>
  </si>
  <si>
    <t>2nd Rework (New Shafts)</t>
  </si>
  <si>
    <t>3rd Rework (New Shafts)</t>
  </si>
  <si>
    <t>4th Rework (New Shafts)</t>
  </si>
  <si>
    <t>5th Rework (New Shafts)</t>
  </si>
  <si>
    <t>1st Rework (Same Shafts)</t>
  </si>
  <si>
    <t>2nd Rework (Same Shafts)</t>
  </si>
  <si>
    <t>3rd Rework (Same Shafts)</t>
  </si>
  <si>
    <t>Cracked Handles</t>
  </si>
  <si>
    <t>Shop Order's Yield</t>
  </si>
  <si>
    <t>4th Rework (Same Shafts)</t>
  </si>
  <si>
    <t>5th Rework (Same Shafts)</t>
  </si>
  <si>
    <t>Blade lever spring pop out</t>
  </si>
  <si>
    <t>Initial build Inspection (Scrapped Shafts)</t>
  </si>
  <si>
    <t>Initial build rework (Same Shaft)</t>
  </si>
  <si>
    <t>Front Stop Not Touching</t>
  </si>
  <si>
    <t>RSL Code</t>
  </si>
  <si>
    <t>**Production Shop Order**</t>
  </si>
  <si>
    <t>Exposed Wire</t>
  </si>
  <si>
    <t>Production Initial build Inspection (Scrapped Shafts)</t>
  </si>
  <si>
    <t>Production Initial build rework (Same Shaft)</t>
  </si>
  <si>
    <t>4th Rework Same Shafts)</t>
  </si>
  <si>
    <t>Top Level Non-Conformance</t>
  </si>
  <si>
    <t>Damaged harness</t>
  </si>
  <si>
    <t>Return Spring Pop Out</t>
  </si>
  <si>
    <t>Blade Lever Stop Pop Out</t>
  </si>
  <si>
    <t>Open Handles</t>
  </si>
  <si>
    <t>Cosmetic Defect</t>
  </si>
  <si>
    <t>Shafts</t>
  </si>
  <si>
    <t>Incorrect Blade Stop Crimp</t>
  </si>
  <si>
    <t>Incorrect Jaw Crimp</t>
  </si>
  <si>
    <t>Incorrect Blade Orientation</t>
  </si>
  <si>
    <t>Contamination</t>
  </si>
  <si>
    <t>Rework %</t>
  </si>
  <si>
    <t>0.007 Jaw Gap Fail</t>
  </si>
  <si>
    <t>Electrode Isolation</t>
  </si>
  <si>
    <t>Defective Component</t>
  </si>
  <si>
    <t>Wire Popped Out</t>
  </si>
  <si>
    <t>Blade Link Pop Out</t>
  </si>
  <si>
    <t>Missing Component</t>
  </si>
  <si>
    <t>Misassembled Component</t>
  </si>
  <si>
    <t>Particulate Matter</t>
  </si>
  <si>
    <t>Knob Collars Incorrectly Pressed</t>
  </si>
  <si>
    <t>0.005 Jaw Gap Fail</t>
  </si>
  <si>
    <t>.</t>
  </si>
  <si>
    <t>EB016/EB216 Energy Hand Device Yield</t>
  </si>
  <si>
    <t>EB015/EB215 Energy Hand Device Yield</t>
  </si>
  <si>
    <t xml:space="preserve"> </t>
  </si>
  <si>
    <t>Jaws Do Not Open</t>
  </si>
  <si>
    <t>Loose Knob Collar</t>
  </si>
  <si>
    <t>EB017/EB217 Energy Hand Device Yield</t>
  </si>
  <si>
    <t>EB040/EB240 Energy Hand Device Yield</t>
  </si>
  <si>
    <t>EB030/EB230 Energy Hand Device Yield</t>
  </si>
  <si>
    <t>EB011/EB211 Energy Hand Device Yield</t>
  </si>
  <si>
    <t>EB010/EB210 Energy Hand Device Yield</t>
  </si>
  <si>
    <t>Front Stop not Touching</t>
  </si>
  <si>
    <t>Open Handle</t>
  </si>
  <si>
    <t>EB215</t>
  </si>
  <si>
    <t xml:space="preserve">                                                                                                                                    </t>
  </si>
  <si>
    <t>Partial Pack</t>
  </si>
  <si>
    <t>Incorrect knob collar press</t>
  </si>
  <si>
    <t>Both Stops Not Touching</t>
  </si>
  <si>
    <t>Packaging</t>
  </si>
  <si>
    <t xml:space="preserve">Packaging </t>
  </si>
  <si>
    <t>Exposed Wire (Static)</t>
  </si>
  <si>
    <t>Blade Guide Does Not Go Through</t>
  </si>
  <si>
    <t>**Production  Shop Order**</t>
  </si>
  <si>
    <t>**Laser Welding Shim: .007 Shim**</t>
  </si>
  <si>
    <t>Non Conformance</t>
  </si>
  <si>
    <t>Shop Order Qty.</t>
  </si>
  <si>
    <t>Build Qty.</t>
  </si>
  <si>
    <t>Top-Level Yield (%)</t>
  </si>
  <si>
    <t>QC</t>
  </si>
  <si>
    <t>Insulation Orientation</t>
  </si>
  <si>
    <t>Blade Actiavtion</t>
  </si>
  <si>
    <t>Low Jaw Gap</t>
  </si>
  <si>
    <t>High Jaw Gap</t>
  </si>
  <si>
    <t>Blade Doesn't Pass Front Stop</t>
  </si>
  <si>
    <t>TOP-LEVEL
SCRAP</t>
  </si>
  <si>
    <t>1st Reassembly
(Reassembly)</t>
  </si>
  <si>
    <t>1st Reassembly
(Scrap)</t>
  </si>
  <si>
    <t>2nd Reassembly
(Scrap)</t>
  </si>
  <si>
    <t>2nd Reassembly
(Reassembly)</t>
  </si>
  <si>
    <t>3rd Reassembly
(Scrap)</t>
  </si>
  <si>
    <t>3rd Reassembly
(Reassembly)</t>
  </si>
  <si>
    <t>Rough Knob Rotation</t>
  </si>
  <si>
    <t>Missassembled</t>
  </si>
  <si>
    <t>TOP-LEVEL
REASSEMBLY</t>
  </si>
  <si>
    <t>Defective Weld</t>
  </si>
  <si>
    <t>SUB-ASSEMBLY
SCRAP</t>
  </si>
  <si>
    <t>Total Scrap</t>
  </si>
  <si>
    <t>Totals</t>
  </si>
  <si>
    <t>Initial Build
(Scrap)</t>
  </si>
  <si>
    <t>Initial Build
(Reassembly)</t>
  </si>
  <si>
    <t>General Information</t>
  </si>
  <si>
    <t>Blade Pusher Coming Out</t>
  </si>
  <si>
    <t xml:space="preserve">Exposed Wire </t>
  </si>
  <si>
    <t>Build Qty</t>
  </si>
  <si>
    <t>Visual</t>
  </si>
  <si>
    <t>Knob Collar Pressed incorrect</t>
  </si>
  <si>
    <t xml:space="preserve">                                                                                                                                 </t>
  </si>
  <si>
    <t>**Nut Setting Shim: .010 shim</t>
  </si>
  <si>
    <t>Knob Collar Press Incorrectly</t>
  </si>
  <si>
    <t>Incomplete / Incorrect Weld</t>
  </si>
  <si>
    <t xml:space="preserve">              </t>
  </si>
  <si>
    <t>Damaged Blade</t>
  </si>
  <si>
    <t xml:space="preserve">Contamination </t>
  </si>
  <si>
    <t>Missing Harness</t>
  </si>
  <si>
    <t>Frames Weld Incorrectly</t>
  </si>
  <si>
    <t>EB012/EB212 Energy Hand Device Yield</t>
  </si>
  <si>
    <t>Discolored Weld</t>
  </si>
  <si>
    <t xml:space="preserve">Cosmetic Defect </t>
  </si>
  <si>
    <t>Knob Collar Press incorrectly</t>
  </si>
  <si>
    <t xml:space="preserve">Knob Collar Press Incorrectly </t>
  </si>
  <si>
    <t xml:space="preserve"> Incorrect Blade Stop Crimp</t>
  </si>
  <si>
    <t>Front and Middle Stops Not Touching</t>
  </si>
  <si>
    <t>Misassembled Frames</t>
  </si>
  <si>
    <t>Engineering Sample</t>
  </si>
  <si>
    <t xml:space="preserve">Defective Component </t>
  </si>
  <si>
    <t>Rough Jaw</t>
  </si>
  <si>
    <t>Incorrect/Missing  Weld</t>
  </si>
  <si>
    <t>Exposed Wire (Dynamic)</t>
  </si>
  <si>
    <t>Stuck blade</t>
  </si>
  <si>
    <t>BP Cap Separation: ea</t>
  </si>
  <si>
    <t xml:space="preserve">Wire Cut Short </t>
  </si>
  <si>
    <t>EB217</t>
  </si>
  <si>
    <t>EB240</t>
  </si>
  <si>
    <t>2ea Damaged Upper Jaw</t>
  </si>
  <si>
    <t>Fuse Button</t>
  </si>
  <si>
    <t>Cosmetic Defect (Jaw)</t>
  </si>
  <si>
    <t>Deep Scratch in Jaw</t>
  </si>
  <si>
    <t xml:space="preserve">Excess Grivory </t>
  </si>
  <si>
    <t>Contamination (Dynamic)</t>
  </si>
  <si>
    <t>DKP Fail</t>
  </si>
  <si>
    <t>Jaw Gap Testing Method: Jaw Gap Gauges</t>
  </si>
  <si>
    <t>Damaged Front Blade Pusher: 56ea</t>
  </si>
  <si>
    <t>1ea Incorrect Hub Press</t>
  </si>
  <si>
    <t>Damaged Upper Jaw</t>
  </si>
  <si>
    <t>**Development Shop Order**</t>
  </si>
  <si>
    <t>Damaged Assembly After Slider Press</t>
  </si>
  <si>
    <t>**Nut Setting Shim: None</t>
  </si>
  <si>
    <t>EB210</t>
  </si>
  <si>
    <t>2ea No Grease</t>
  </si>
  <si>
    <t>EB211</t>
  </si>
  <si>
    <t>Incorrect Hub Press</t>
  </si>
  <si>
    <t xml:space="preserve">BP Cap Separation: </t>
  </si>
  <si>
    <t>Failure To Unlock Trigger</t>
  </si>
  <si>
    <t>Device Key Not Reading Device</t>
  </si>
  <si>
    <t>**Laser Welding Shim: .017 Shim**</t>
  </si>
  <si>
    <t>Blade Does not Pass Front Stop</t>
  </si>
  <si>
    <t>Misassembled-Uneven Pin</t>
  </si>
  <si>
    <t>2ea Damaged Pull Tube</t>
  </si>
  <si>
    <t>DKP</t>
  </si>
  <si>
    <t>3ea Incorrect Blade Stop Crimp (No Jaws)</t>
  </si>
  <si>
    <t>1ea Incorrect Blade Stop Crimp (No Jaws)</t>
  </si>
  <si>
    <t>Damaged Front Blade Pusher:  51ea</t>
  </si>
  <si>
    <t>9ea  Incorrect Hub Press</t>
  </si>
  <si>
    <t>2ea   Incorrect Blade Stop Crimp (No Jaws)</t>
  </si>
  <si>
    <t xml:space="preserve"> 9ea  Damaged Pull Tube</t>
  </si>
  <si>
    <t xml:space="preserve"> 28ea  Exposed Wire  Upper Jaw</t>
  </si>
  <si>
    <t>219ea  Damaged Insulation</t>
  </si>
  <si>
    <t>10ea  Incorrect Hub Press</t>
  </si>
  <si>
    <t xml:space="preserve"> 2ea  Damaged Cover Tube</t>
  </si>
  <si>
    <t>10ea Defective Pull Tube</t>
  </si>
  <si>
    <t>236ea  Damaged Insulation</t>
  </si>
  <si>
    <t>Damaged Front Blade Pusher: 46ea</t>
  </si>
  <si>
    <t xml:space="preserve"> 3ea  Damaged Tube with Hub</t>
  </si>
  <si>
    <t>1ea Damaged Lower Jaw</t>
  </si>
  <si>
    <t>1ea  Incorrect Hub Press</t>
  </si>
  <si>
    <t>15ea Missing Reverse Dimple Press (No Jaws)</t>
  </si>
  <si>
    <t>6ea Incorrect Blade Stop Crimp (No Jaws)</t>
  </si>
  <si>
    <t xml:space="preserve"> 1ea  Damaged Cover Tube</t>
  </si>
  <si>
    <t>Damaged Front Blade Pusher: 39ea</t>
  </si>
  <si>
    <t>194ea  Damaged Insulation</t>
  </si>
  <si>
    <t>2ea Defective Pull Tube</t>
  </si>
  <si>
    <t>2ea  Incorrect Hub Press</t>
  </si>
  <si>
    <t xml:space="preserve">      </t>
  </si>
  <si>
    <t xml:space="preserve">Incorrect Blade Orientation </t>
  </si>
  <si>
    <t>6ea Damaged Cover Tube</t>
  </si>
  <si>
    <t>BP Cap Seperation: 2ea</t>
  </si>
  <si>
    <t>Damaged Insulation: 148ea</t>
  </si>
  <si>
    <t>Damaged  Blade Pusher: 29ea</t>
  </si>
  <si>
    <t>2ea Exposed Wire Upper Jaw</t>
  </si>
  <si>
    <t>Device Key Not Reading</t>
  </si>
  <si>
    <t xml:space="preserve"> 1ea  Incorrect Hub Press</t>
  </si>
  <si>
    <t>4ea No Grease</t>
  </si>
  <si>
    <t>8ea No Grease</t>
  </si>
  <si>
    <t xml:space="preserve"> 4ea  Incorrect Hub Press</t>
  </si>
  <si>
    <t>ea No Grease</t>
  </si>
  <si>
    <t>Lot Size</t>
  </si>
  <si>
    <t>Type</t>
  </si>
  <si>
    <t>EB230</t>
  </si>
  <si>
    <t>PRD</t>
  </si>
  <si>
    <t>Build Quantity</t>
  </si>
  <si>
    <t>Rework</t>
  </si>
  <si>
    <t>Quality Control</t>
  </si>
  <si>
    <t>Shop
Order</t>
  </si>
  <si>
    <t>Top Level Scrap</t>
  </si>
  <si>
    <t>Top Level Rework</t>
  </si>
  <si>
    <t>0.0015 Jaw Gap Fail</t>
  </si>
  <si>
    <t>Fuse Button (x2)</t>
  </si>
  <si>
    <t>Misassembled Component (x2)</t>
  </si>
  <si>
    <t>Focus Error</t>
  </si>
  <si>
    <t>Desired Pattern Could Not Be Found</t>
  </si>
  <si>
    <t>Sub-Assembly/Laser Welding Scrap</t>
  </si>
  <si>
    <t>TBD</t>
  </si>
  <si>
    <t>4ea  Incorrect Hub Press</t>
  </si>
  <si>
    <t>4ea Incorrect Blade Stop Crimp (No Jaws)</t>
  </si>
  <si>
    <t>4 ea  Damaged Cover Tube</t>
  </si>
  <si>
    <t>Stucked Blade</t>
  </si>
  <si>
    <t>80ea  Damaged Insulation</t>
  </si>
  <si>
    <t>5ea Damaged Upper Jaw</t>
  </si>
  <si>
    <t>Damaged Front Blade Pusher: 58ea</t>
  </si>
  <si>
    <t>Initial
Build</t>
  </si>
  <si>
    <t>Shaft Assembly Non-Conformance</t>
  </si>
  <si>
    <t>Failure To lock Trigger</t>
  </si>
  <si>
    <t>5ea No Grease</t>
  </si>
  <si>
    <t xml:space="preserve"> 1ea  Damaged Tube</t>
  </si>
  <si>
    <t>Wire Cut Too Short</t>
  </si>
  <si>
    <t>1ea no grease</t>
  </si>
  <si>
    <t>56ea Excess grease</t>
  </si>
  <si>
    <t>1ea Dynamic Jaw Excess Grivory</t>
  </si>
  <si>
    <t>Weld Dark Spot</t>
  </si>
  <si>
    <t>4ea Damaged Static Jaw</t>
  </si>
  <si>
    <t>Damaged Component (Jaw)</t>
  </si>
  <si>
    <t>Misaligned Jaw</t>
  </si>
  <si>
    <t>9ea Static Jaw Excess Grivory</t>
  </si>
  <si>
    <t>BP Cap Separation: 3ea</t>
  </si>
  <si>
    <t>Damaged Front Blade Pusher: 89ea</t>
  </si>
  <si>
    <t>2ea Cover Tube Contamination</t>
  </si>
  <si>
    <t>23ea  Damaged Pull Tube</t>
  </si>
  <si>
    <t>5ea Exposed Wire Upper Jaw</t>
  </si>
  <si>
    <t>203ea  Damaged Insulation</t>
  </si>
  <si>
    <t xml:space="preserve">  Stuck Blade</t>
  </si>
  <si>
    <t xml:space="preserve"> 75ea Damaged Hub</t>
  </si>
  <si>
    <t>5ea  Incorrect Hub Press</t>
  </si>
  <si>
    <t>99ea Cover Tube with Hub</t>
  </si>
  <si>
    <t>3ea  Damaged Pull Tube</t>
  </si>
  <si>
    <t>198ea  Damaged Insulation</t>
  </si>
  <si>
    <t>Damaged Front Blade Pusher: 68ea</t>
  </si>
  <si>
    <t>EB014/EB214 Energy Hand Device Yield</t>
  </si>
  <si>
    <t>EB013/EB213 Energy Hand Device Yield</t>
  </si>
  <si>
    <t>Handle Open</t>
  </si>
  <si>
    <t>Damaged Hanlde</t>
  </si>
  <si>
    <t>Misaligned Haness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</si>
  <si>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</si>
  <si>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DKP Program Fail</t>
  </si>
  <si>
    <t>DEV</t>
  </si>
  <si>
    <t>Missing Back Spot Dot</t>
  </si>
  <si>
    <t>8ea no grease</t>
  </si>
  <si>
    <t>6ea Damaged Static Jaw</t>
  </si>
  <si>
    <t>13ea Static Jaw Excess Grivory</t>
  </si>
  <si>
    <t>8ea Discolored Dynamic Jaw</t>
  </si>
  <si>
    <t>Missing Back/front Spot Dot</t>
  </si>
  <si>
    <t>Incomplete / Incorrect Weld (Static)</t>
  </si>
  <si>
    <t>42ea Dynamic Jaw Excess Grivory</t>
  </si>
  <si>
    <t>3ea Excess grease</t>
  </si>
  <si>
    <t xml:space="preserve">Broken Blade Pusher </t>
  </si>
  <si>
    <t>3ea Incorrect Hub Press</t>
  </si>
  <si>
    <t>5ea  Damaged Pull Tube</t>
  </si>
  <si>
    <t>91ea Incorrect Dimple Press Pull Tube</t>
  </si>
  <si>
    <t>1ea Damaged Cover Tube</t>
  </si>
  <si>
    <t>3ea No Grease</t>
  </si>
  <si>
    <t>30ea Damaged Upper Jaw</t>
  </si>
  <si>
    <t>**Nut Setting Shim: .015 shim</t>
  </si>
  <si>
    <t>Damage Component</t>
  </si>
  <si>
    <t>4ea Incorrect Hub Press</t>
  </si>
  <si>
    <t>7ea Incorrect Blade Stop Crimp (No Jaws)</t>
  </si>
  <si>
    <t>4 ea  Damaged Pull Tube</t>
  </si>
  <si>
    <t>3 ea Damaged Cover Tube</t>
  </si>
  <si>
    <t xml:space="preserve">BP Cap Separation: 10 ea </t>
  </si>
  <si>
    <t>1 ea Incorrect Blade Orientation (No Jaws)</t>
  </si>
  <si>
    <t xml:space="preserve"> 10ea Damaged Upper Jaw</t>
  </si>
  <si>
    <t>628ea Damaged Insulation</t>
  </si>
  <si>
    <t xml:space="preserve">BP Cap Separation: 7 ea </t>
  </si>
  <si>
    <t>8ea Incorrect Hub Press</t>
  </si>
  <si>
    <t>3ea Damaged Upper Jaw</t>
  </si>
  <si>
    <t>Damaged Front Blade Pusher: 93ea</t>
  </si>
  <si>
    <t>397 ea Damaged Insulation</t>
  </si>
  <si>
    <t>**Nut Setting Shim: .017 Shim**</t>
  </si>
  <si>
    <t>**Nut Setting Shim (1st rework): .010 shim</t>
  </si>
  <si>
    <t>BP Cap Seperation: ea</t>
  </si>
  <si>
    <t>Damaged Insulation: 60ea</t>
  </si>
  <si>
    <t>Damaged  Blade Pusher: 74ea</t>
  </si>
  <si>
    <t>3ea Damaged Cover Tube</t>
  </si>
  <si>
    <t>3ea Damage Upper Jaw</t>
  </si>
  <si>
    <t>676 ea Damaged Insulation</t>
  </si>
  <si>
    <t>Damaged Front Blade Pusher: 53ea</t>
  </si>
  <si>
    <t>Excess Grivory (Dynamic)</t>
  </si>
  <si>
    <t>Bent Jaw</t>
  </si>
  <si>
    <t>Incomplete/Incorrect Weld (Static)</t>
  </si>
  <si>
    <t>Excess Grivory (Static)</t>
  </si>
  <si>
    <t>Bent Jaw (Dynamic)</t>
  </si>
  <si>
    <t>Contamination (Static)</t>
  </si>
  <si>
    <t>7ea Excess grease</t>
  </si>
  <si>
    <t>7ea no grease</t>
  </si>
  <si>
    <t>1ea No Grease</t>
  </si>
  <si>
    <t>44ea Damaged Upper Jaw</t>
  </si>
  <si>
    <t>Missing Front /Back Spot Dot</t>
  </si>
  <si>
    <t>ea no grease</t>
  </si>
  <si>
    <t>Bent Jaw (Static)</t>
  </si>
  <si>
    <t>Excess Grivory Complete</t>
  </si>
  <si>
    <t>Missing Stop Dot</t>
  </si>
  <si>
    <t>Particulate Matter on Jaw</t>
  </si>
  <si>
    <t>8ea Excess grease</t>
  </si>
  <si>
    <t>6ea Excess grease</t>
  </si>
  <si>
    <t>Excess Grivory ( Static )</t>
  </si>
  <si>
    <t>Excess Grivory</t>
  </si>
  <si>
    <t>7ea No grease</t>
  </si>
  <si>
    <t>4ea Damaged  Pull Tube</t>
  </si>
  <si>
    <t>Continuity Fail (2X)</t>
  </si>
  <si>
    <t>Low Jaw Force (2X)</t>
  </si>
  <si>
    <t>Scrarcthed Logo</t>
  </si>
  <si>
    <t>1ea Contamination Lower Jaw</t>
  </si>
  <si>
    <t>47ea Damaged Upper Jaw</t>
  </si>
  <si>
    <t>221ea Damaged Insulation</t>
  </si>
  <si>
    <t>Damaged Front Blade Pusher: 64ea</t>
  </si>
  <si>
    <t>Damaged Front Blade Pusher:  123ea</t>
  </si>
  <si>
    <t>6ea Contamination Cover Tube</t>
  </si>
  <si>
    <t>185ea Damaged Insulation</t>
  </si>
  <si>
    <t>Particulate Mater</t>
  </si>
  <si>
    <t>Discolored Component</t>
  </si>
  <si>
    <t>No Silicone</t>
  </si>
  <si>
    <t>Excess Silicone</t>
  </si>
  <si>
    <t>Damaged (Static)</t>
  </si>
  <si>
    <t>Misaligned</t>
  </si>
  <si>
    <t>Arm Housing ( Static ) Scratched Logo: 6ea</t>
  </si>
  <si>
    <t>Arm Cover ( Static ) Scratched Logo: ea</t>
  </si>
  <si>
    <t>Deep Scratch in Jaw (Static)</t>
  </si>
  <si>
    <t>1ea No grease</t>
  </si>
  <si>
    <t>1ea Excess grease</t>
  </si>
  <si>
    <t>EB212</t>
  </si>
  <si>
    <t>4a Damaged Pull Tube</t>
  </si>
  <si>
    <t>Damaged Front Blade Pusher: 86ea</t>
  </si>
  <si>
    <t>118ea Damaged Insulation</t>
  </si>
  <si>
    <t>1ea Unable to programmed</t>
  </si>
  <si>
    <t>EB214</t>
  </si>
  <si>
    <t>32ea Damage Insulation</t>
  </si>
  <si>
    <t xml:space="preserve"> Damaged Lower Jaw</t>
  </si>
  <si>
    <t>Damage Front Blade Pusher</t>
  </si>
  <si>
    <t>Blade Lock Failure</t>
  </si>
  <si>
    <t>1ea Double Blade</t>
  </si>
  <si>
    <t>Defective Upper Jaw: 1ea</t>
  </si>
  <si>
    <t>4ea Damaged Upper Jaw</t>
  </si>
  <si>
    <t>201ea  Damaged Insulation</t>
  </si>
  <si>
    <t>5ea  Damaged  Pull Tube</t>
  </si>
  <si>
    <t>3ea  Incorrect Blade Stop Crimp (No Jaws)</t>
  </si>
  <si>
    <t>Damaged Front Blade Pusher:87ea</t>
  </si>
  <si>
    <t>BP Cap Separation: 7ea</t>
  </si>
  <si>
    <t>Rough Blade</t>
  </si>
  <si>
    <t>EB213</t>
  </si>
  <si>
    <t>Damaged Front Blade Pusher: 33ea</t>
  </si>
  <si>
    <t xml:space="preserve">Arm Housing ( Static ) Scratched Logo: </t>
  </si>
  <si>
    <t>Excess grease</t>
  </si>
  <si>
    <t xml:space="preserve"> No grease</t>
  </si>
  <si>
    <t xml:space="preserve">Deep Scratch in Jaw </t>
  </si>
  <si>
    <t>Deep Scratch in Jaw (Daynamic)</t>
  </si>
  <si>
    <t>Insulation Damage:</t>
  </si>
  <si>
    <t>Defective Right Frame: 1ea</t>
  </si>
  <si>
    <t>Burnt Wire</t>
  </si>
  <si>
    <t>Blade Dose Not Pass Front Stop</t>
  </si>
  <si>
    <t>Defective Upper Jaw: 7ea</t>
  </si>
  <si>
    <t>Damage Pull Tube: 3ea</t>
  </si>
  <si>
    <t>Damaged  Blade Pusher: 16ea</t>
  </si>
  <si>
    <t>contamination</t>
  </si>
  <si>
    <t>Damaged Insulation: ea</t>
  </si>
  <si>
    <t>High Jaw Force (2X)</t>
  </si>
  <si>
    <t>7ea  Incorrect Blade Stop Crimp (No Jaws)</t>
  </si>
  <si>
    <t>Damaged Nut Thread</t>
  </si>
  <si>
    <t xml:space="preserve"> 3ea  Damaged Lower Jaw</t>
  </si>
  <si>
    <t xml:space="preserve"> 3ea  Damaged Upper Jaw</t>
  </si>
  <si>
    <t>6ea  Damaged  Pull Tube</t>
  </si>
  <si>
    <t>274ea   Damaged Insulation</t>
  </si>
  <si>
    <t>Damaged Front Blade Pusher: 85ea</t>
  </si>
  <si>
    <t>15ea  Incorrect Hub Press</t>
  </si>
  <si>
    <t>1ea  Damaged Upper Jaw</t>
  </si>
  <si>
    <t>176ea   Damaged Insulation</t>
  </si>
  <si>
    <t>1ea   Damaged Lower Jaw</t>
  </si>
  <si>
    <t>Damaged Front Blade Pusher:  87ea</t>
  </si>
  <si>
    <t>3ea  Incorrect Hub Press</t>
  </si>
  <si>
    <t>5ea  Incorrect Blade Stop Crimp (No Jaws)</t>
  </si>
  <si>
    <t>33ea  Defective Pull Tube</t>
  </si>
  <si>
    <t>Missing Reverse Dimple Press</t>
  </si>
  <si>
    <t>6ea  Missing Reverse Dimple Press</t>
  </si>
  <si>
    <t>2ea  Demaged Pull Tube</t>
  </si>
  <si>
    <t>Damaged Front Blade Pusher:  101ea</t>
  </si>
  <si>
    <t>132ea Damaged Insulation</t>
  </si>
  <si>
    <t>4ea Defective Lower Jaw</t>
  </si>
  <si>
    <t>2ea Defective Upper Jaw</t>
  </si>
  <si>
    <t xml:space="preserve">                    </t>
  </si>
  <si>
    <t>EB216</t>
  </si>
  <si>
    <t>1ea  Double Blade (No Jaw)</t>
  </si>
  <si>
    <t>13ea Damaged Insulation</t>
  </si>
  <si>
    <t>Damaged Front Blade Pusher:  7ea</t>
  </si>
  <si>
    <t>Cut Wire Too Short</t>
  </si>
  <si>
    <t>Uneven Jaw</t>
  </si>
  <si>
    <t>No Twist</t>
  </si>
  <si>
    <t>Wire Cut Short (Static)</t>
  </si>
  <si>
    <t>Engineer took 10ea</t>
  </si>
  <si>
    <t>Defective Component (Shaft)</t>
  </si>
  <si>
    <t>Damaged Pull Tub</t>
  </si>
  <si>
    <t>1ea Defective Upper Jaw</t>
  </si>
  <si>
    <t>1ea Damage Pull Tube</t>
  </si>
  <si>
    <t>bubble in 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</si>
</sst>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ddmmmyy"/>
  </numFmts>
  <fonts count="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8"/>
      <color theme="0"/>
      <name val="Calibri"/>
      <family val="2"/>
      <scheme val="minor"/>
    </font>
    <font>
      <b/>
      <sz val="4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647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D6ECF2"/>
        <bgColor indexed="64"/>
      </patternFill>
    </fill>
    <fill>
      <patternFill patternType="solid">
        <fgColor rgb="FFDBD3E5"/>
        <bgColor indexed="64"/>
      </patternFill>
    </fill>
    <fill>
      <patternFill patternType="solid">
        <fgColor rgb="FFD8CFE3"/>
        <bgColor indexed="64"/>
      </patternFill>
    </fill>
    <fill>
      <patternFill patternType="solid">
        <fgColor rgb="FF006464"/>
        <bgColor indexed="64"/>
      </patternFill>
    </fill>
    <fill>
      <patternFill patternType="solid">
        <fgColor rgb="FFD8CFE3"/>
        <bgColor theme="0" tint="-0.14999847407452621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5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8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0" applyNumberFormat="0" applyAlignment="0" applyProtection="0"/>
    <xf numFmtId="0" fontId="13" fillId="6" borderId="11" applyNumberFormat="0" applyAlignment="0" applyProtection="0"/>
    <xf numFmtId="0" fontId="14" fillId="6" borderId="10" applyNumberFormat="0" applyAlignment="0" applyProtection="0"/>
    <xf numFmtId="0" fontId="15" fillId="0" borderId="12" applyNumberFormat="0" applyFill="0" applyAlignment="0" applyProtection="0"/>
    <xf numFmtId="0" fontId="16" fillId="7" borderId="13" applyNumberFormat="0" applyAlignment="0" applyProtection="0"/>
    <xf numFmtId="0" fontId="2" fillId="0" borderId="0" applyNumberFormat="0" applyFill="0" applyBorder="0" applyAlignment="0" applyProtection="0"/>
    <xf numFmtId="0" fontId="4" fillId="8" borderId="14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5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19" fillId="0" borderId="0"/>
  </cellStyleXfs>
  <cellXfs count="590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65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0" fontId="0" fillId="35" borderId="45" xfId="0" applyFill="1" applyBorder="1" applyAlignment="1">
      <alignment horizontal="center" vertical="center" wrapText="1"/>
    </xf>
    <xf numFmtId="0" fontId="22" fillId="33" borderId="46" xfId="0" applyFont="1" applyFill="1" applyBorder="1" applyAlignment="1">
      <alignment horizontal="left" vertical="center"/>
    </xf>
    <xf numFmtId="0" fontId="0" fillId="33" borderId="44" xfId="0" applyNumberFormat="1" applyFont="1" applyFill="1" applyBorder="1" applyAlignment="1">
      <alignment vertical="center"/>
    </xf>
    <xf numFmtId="14" fontId="0" fillId="33" borderId="40" xfId="0" applyNumberFormat="1" applyFill="1" applyBorder="1" applyAlignment="1"/>
    <xf numFmtId="14" fontId="0" fillId="33" borderId="46" xfId="0" applyNumberFormat="1" applyFill="1" applyBorder="1" applyAlignment="1"/>
    <xf numFmtId="14" fontId="0" fillId="33" borderId="38" xfId="0" applyNumberFormat="1" applyFill="1" applyBorder="1" applyAlignment="1"/>
    <xf numFmtId="0" fontId="0" fillId="33" borderId="46" xfId="0" applyFill="1" applyBorder="1" applyAlignment="1">
      <alignment horizontal="left" vertical="center"/>
    </xf>
    <xf numFmtId="0" fontId="0" fillId="0" borderId="0" xfId="0"/>
    <xf numFmtId="0" fontId="0" fillId="0" borderId="0" xfId="0" applyFill="1"/>
    <xf numFmtId="166" fontId="0" fillId="0" borderId="0" xfId="0" applyNumberFormat="1"/>
    <xf numFmtId="166" fontId="0" fillId="0" borderId="0" xfId="0" applyNumberFormat="1" applyFill="1" applyAlignment="1">
      <alignment vertical="center"/>
    </xf>
    <xf numFmtId="166" fontId="0" fillId="0" borderId="0" xfId="0" applyNumberFormat="1" applyFill="1" applyAlignment="1">
      <alignment horizontal="right" vertical="center"/>
    </xf>
    <xf numFmtId="0" fontId="0" fillId="35" borderId="44" xfId="0" applyFill="1" applyBorder="1" applyAlignment="1">
      <alignment horizontal="center" vertical="center" wrapText="1"/>
    </xf>
    <xf numFmtId="166" fontId="0" fillId="35" borderId="44" xfId="0" applyNumberFormat="1" applyFill="1" applyBorder="1" applyAlignment="1">
      <alignment horizontal="center" vertical="center" wrapText="1"/>
    </xf>
    <xf numFmtId="0" fontId="16" fillId="35" borderId="44" xfId="0" applyFont="1" applyFill="1" applyBorder="1" applyAlignment="1">
      <alignment vertical="center"/>
    </xf>
    <xf numFmtId="14" fontId="0" fillId="33" borderId="0" xfId="0" applyNumberFormat="1" applyFill="1" applyBorder="1" applyAlignment="1"/>
    <xf numFmtId="0" fontId="16" fillId="36" borderId="30" xfId="0" applyFont="1" applyFill="1" applyBorder="1" applyAlignment="1">
      <alignment horizontal="center" vertical="center"/>
    </xf>
    <xf numFmtId="0" fontId="16" fillId="36" borderId="24" xfId="0" applyFont="1" applyFill="1" applyBorder="1" applyAlignment="1">
      <alignment horizontal="center" vertical="center"/>
    </xf>
    <xf numFmtId="0" fontId="0" fillId="38" borderId="4" xfId="0" applyNumberFormat="1" applyFill="1" applyBorder="1" applyAlignment="1">
      <alignment horizontal="center" vertical="center" wrapText="1"/>
    </xf>
    <xf numFmtId="0" fontId="0" fillId="38" borderId="25" xfId="0" applyFill="1" applyBorder="1" applyAlignment="1">
      <alignment horizontal="center" vertical="top"/>
    </xf>
    <xf numFmtId="0" fontId="0" fillId="38" borderId="26" xfId="0" applyFill="1" applyBorder="1" applyAlignment="1">
      <alignment horizontal="center" vertical="top"/>
    </xf>
    <xf numFmtId="0" fontId="0" fillId="38" borderId="31" xfId="0" applyFill="1" applyBorder="1" applyAlignment="1">
      <alignment horizontal="center" vertical="top" wrapText="1"/>
    </xf>
    <xf numFmtId="0" fontId="0" fillId="38" borderId="28" xfId="0" applyFill="1" applyBorder="1" applyAlignment="1">
      <alignment horizontal="center" vertical="top" wrapText="1"/>
    </xf>
    <xf numFmtId="0" fontId="0" fillId="0" borderId="22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36" borderId="5" xfId="0" applyFont="1" applyFill="1" applyBorder="1" applyAlignment="1">
      <alignment horizontal="center" vertical="center"/>
    </xf>
    <xf numFmtId="0" fontId="16" fillId="36" borderId="5" xfId="0" applyFont="1" applyFill="1" applyBorder="1" applyAlignment="1">
      <alignment horizontal="center" vertical="center" wrapText="1"/>
    </xf>
    <xf numFmtId="164" fontId="16" fillId="36" borderId="5" xfId="0" applyNumberFormat="1" applyFont="1" applyFill="1" applyBorder="1" applyAlignment="1">
      <alignment horizontal="center" vertical="center"/>
    </xf>
    <xf numFmtId="166" fontId="16" fillId="36" borderId="5" xfId="0" applyNumberFormat="1" applyFont="1" applyFill="1" applyBorder="1" applyAlignment="1">
      <alignment horizontal="center" vertical="center"/>
    </xf>
    <xf numFmtId="164" fontId="16" fillId="36" borderId="5" xfId="0" applyNumberFormat="1" applyFont="1" applyFill="1" applyBorder="1" applyAlignment="1">
      <alignment horizontal="center" vertical="center" wrapText="1"/>
    </xf>
    <xf numFmtId="166" fontId="16" fillId="36" borderId="6" xfId="0" applyNumberFormat="1" applyFont="1" applyFill="1" applyBorder="1" applyAlignment="1">
      <alignment horizontal="center" vertical="center"/>
    </xf>
    <xf numFmtId="166" fontId="1" fillId="37" borderId="27" xfId="0" applyNumberFormat="1" applyFont="1" applyFill="1" applyBorder="1" applyAlignment="1">
      <alignment horizontal="center" vertical="center"/>
    </xf>
    <xf numFmtId="0" fontId="0" fillId="37" borderId="18" xfId="0" applyFill="1" applyBorder="1" applyAlignment="1">
      <alignment horizontal="center" vertical="center"/>
    </xf>
    <xf numFmtId="0" fontId="0" fillId="37" borderId="19" xfId="0" applyFill="1" applyBorder="1" applyAlignment="1">
      <alignment horizontal="center" vertical="center"/>
    </xf>
    <xf numFmtId="166" fontId="0" fillId="37" borderId="19" xfId="0" applyNumberFormat="1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166" fontId="0" fillId="37" borderId="0" xfId="0" applyNumberFormat="1" applyFill="1" applyBorder="1" applyAlignment="1">
      <alignment horizontal="center" vertical="center"/>
    </xf>
    <xf numFmtId="0" fontId="0" fillId="37" borderId="0" xfId="0" applyNumberFormat="1" applyFill="1" applyBorder="1" applyAlignment="1">
      <alignment horizontal="center" vertical="center"/>
    </xf>
    <xf numFmtId="166" fontId="0" fillId="37" borderId="17" xfId="0" applyNumberFormat="1" applyFill="1" applyBorder="1" applyAlignment="1">
      <alignment horizontal="center" vertical="center"/>
    </xf>
    <xf numFmtId="0" fontId="0" fillId="37" borderId="5" xfId="0" applyFill="1" applyBorder="1" applyAlignment="1">
      <alignment horizontal="center" vertical="center" wrapText="1"/>
    </xf>
    <xf numFmtId="0" fontId="0" fillId="38" borderId="36" xfId="0" applyNumberFormat="1" applyFill="1" applyBorder="1" applyAlignment="1">
      <alignment horizontal="center" vertical="center" wrapText="1"/>
    </xf>
    <xf numFmtId="0" fontId="0" fillId="38" borderId="21" xfId="0" applyFill="1" applyBorder="1" applyAlignment="1">
      <alignment horizontal="center" vertical="center" wrapText="1"/>
    </xf>
    <xf numFmtId="0" fontId="0" fillId="38" borderId="33" xfId="0" applyNumberFormat="1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 wrapText="1"/>
    </xf>
    <xf numFmtId="0" fontId="0" fillId="38" borderId="2" xfId="0" applyFill="1" applyBorder="1" applyAlignment="1">
      <alignment horizontal="center" vertical="center" wrapText="1"/>
    </xf>
    <xf numFmtId="0" fontId="0" fillId="38" borderId="1" xfId="0" applyNumberFormat="1" applyFont="1" applyFill="1" applyBorder="1" applyAlignment="1">
      <alignment horizontal="center" vertical="center" wrapText="1"/>
    </xf>
    <xf numFmtId="0" fontId="0" fillId="38" borderId="34" xfId="0" applyNumberFormat="1" applyFill="1" applyBorder="1" applyAlignment="1">
      <alignment horizontal="center" vertical="center" wrapText="1"/>
    </xf>
    <xf numFmtId="0" fontId="0" fillId="38" borderId="3" xfId="0" applyNumberFormat="1" applyFill="1" applyBorder="1" applyAlignment="1">
      <alignment horizontal="center" vertical="center" wrapText="1"/>
    </xf>
    <xf numFmtId="0" fontId="0" fillId="38" borderId="3" xfId="0" applyFill="1" applyBorder="1" applyAlignment="1">
      <alignment horizontal="center" vertical="center" wrapText="1"/>
    </xf>
    <xf numFmtId="0" fontId="1" fillId="38" borderId="1" xfId="0" applyNumberFormat="1" applyFont="1" applyFill="1" applyBorder="1" applyAlignment="1">
      <alignment horizontal="center" vertical="center" wrapText="1"/>
    </xf>
    <xf numFmtId="0" fontId="0" fillId="38" borderId="21" xfId="0" applyNumberFormat="1" applyFill="1" applyBorder="1" applyAlignment="1">
      <alignment horizontal="center" vertical="center" wrapText="1"/>
    </xf>
    <xf numFmtId="0" fontId="0" fillId="38" borderId="1" xfId="0" applyNumberFormat="1" applyFill="1" applyBorder="1" applyAlignment="1">
      <alignment horizontal="center" vertical="center" wrapText="1"/>
    </xf>
    <xf numFmtId="0" fontId="0" fillId="38" borderId="2" xfId="0" applyNumberFormat="1" applyFill="1" applyBorder="1" applyAlignment="1">
      <alignment horizontal="center" vertical="center" wrapText="1"/>
    </xf>
    <xf numFmtId="0" fontId="1" fillId="38" borderId="2" xfId="0" applyNumberFormat="1" applyFont="1" applyFill="1" applyBorder="1" applyAlignment="1">
      <alignment horizontal="center" vertical="center" wrapText="1"/>
    </xf>
    <xf numFmtId="0" fontId="1" fillId="38" borderId="5" xfId="0" applyNumberFormat="1" applyFont="1" applyFill="1" applyBorder="1" applyAlignment="1">
      <alignment horizontal="center" vertical="center" wrapText="1"/>
    </xf>
    <xf numFmtId="0" fontId="1" fillId="37" borderId="29" xfId="0" applyFont="1" applyFill="1" applyBorder="1" applyAlignment="1">
      <alignment horizontal="center"/>
    </xf>
    <xf numFmtId="0" fontId="1" fillId="33" borderId="30" xfId="0" applyFont="1" applyFill="1" applyBorder="1" applyAlignment="1">
      <alignment horizontal="center" vertical="top"/>
    </xf>
    <xf numFmtId="9" fontId="0" fillId="34" borderId="50" xfId="1" applyNumberFormat="1" applyFont="1" applyFill="1" applyBorder="1" applyAlignment="1">
      <alignment vertical="center"/>
    </xf>
    <xf numFmtId="164" fontId="25" fillId="36" borderId="5" xfId="0" applyNumberFormat="1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ill="1" applyBorder="1" applyAlignment="1">
      <alignment vertical="center" wrapText="1"/>
    </xf>
    <xf numFmtId="0" fontId="16" fillId="36" borderId="30" xfId="0" applyFont="1" applyFill="1" applyBorder="1" applyAlignment="1">
      <alignment horizontal="center" vertical="center" wrapText="1"/>
    </xf>
    <xf numFmtId="0" fontId="16" fillId="36" borderId="58" xfId="0" applyFont="1" applyFill="1" applyBorder="1" applyAlignment="1">
      <alignment horizontal="center" vertical="center"/>
    </xf>
    <xf numFmtId="0" fontId="26" fillId="36" borderId="58" xfId="0" applyFont="1" applyFill="1" applyBorder="1" applyAlignment="1">
      <alignment horizontal="center" vertical="center"/>
    </xf>
    <xf numFmtId="0" fontId="0" fillId="37" borderId="18" xfId="0" applyNumberFormat="1" applyFont="1" applyFill="1" applyBorder="1" applyAlignment="1">
      <alignment horizontal="center" vertical="center" wrapText="1"/>
    </xf>
    <xf numFmtId="0" fontId="0" fillId="37" borderId="19" xfId="0" applyNumberFormat="1" applyFont="1" applyFill="1" applyBorder="1" applyAlignment="1">
      <alignment horizontal="center" vertical="center" wrapText="1"/>
    </xf>
    <xf numFmtId="0" fontId="0" fillId="37" borderId="19" xfId="0" applyFont="1" applyFill="1" applyBorder="1" applyAlignment="1">
      <alignment horizontal="center" vertical="center" wrapText="1"/>
    </xf>
    <xf numFmtId="0" fontId="1" fillId="37" borderId="19" xfId="0" applyFont="1" applyFill="1" applyBorder="1" applyAlignment="1">
      <alignment horizontal="center" vertical="center" wrapText="1"/>
    </xf>
    <xf numFmtId="0" fontId="1" fillId="37" borderId="20" xfId="0" applyFont="1" applyFill="1" applyBorder="1" applyAlignment="1">
      <alignment horizontal="center" vertical="center"/>
    </xf>
    <xf numFmtId="0" fontId="0" fillId="37" borderId="18" xfId="0" applyFont="1" applyFill="1" applyBorder="1" applyAlignment="1">
      <alignment horizontal="center" vertical="center"/>
    </xf>
    <xf numFmtId="0" fontId="0" fillId="37" borderId="19" xfId="0" applyFont="1" applyFill="1" applyBorder="1" applyAlignment="1">
      <alignment horizontal="center" vertical="center"/>
    </xf>
    <xf numFmtId="166" fontId="0" fillId="37" borderId="19" xfId="0" applyNumberFormat="1" applyFont="1" applyFill="1" applyBorder="1" applyAlignment="1">
      <alignment horizontal="center" vertical="center"/>
    </xf>
    <xf numFmtId="0" fontId="0" fillId="38" borderId="36" xfId="0" applyNumberFormat="1" applyFont="1" applyFill="1" applyBorder="1" applyAlignment="1">
      <alignment horizontal="center" vertical="center" wrapText="1"/>
    </xf>
    <xf numFmtId="0" fontId="0" fillId="38" borderId="21" xfId="0" applyNumberFormat="1" applyFont="1" applyFill="1" applyBorder="1" applyAlignment="1">
      <alignment horizontal="center" vertical="center" wrapText="1"/>
    </xf>
    <xf numFmtId="0" fontId="0" fillId="38" borderId="21" xfId="0" applyFont="1" applyFill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/>
    </xf>
    <xf numFmtId="0" fontId="0" fillId="38" borderId="25" xfId="0" applyNumberFormat="1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37" borderId="16" xfId="0" applyFont="1" applyFill="1" applyBorder="1" applyAlignment="1">
      <alignment horizontal="center" vertical="center"/>
    </xf>
    <xf numFmtId="0" fontId="0" fillId="37" borderId="0" xfId="0" applyFont="1" applyFill="1" applyBorder="1" applyAlignment="1">
      <alignment horizontal="center" vertical="center"/>
    </xf>
    <xf numFmtId="166" fontId="0" fillId="37" borderId="0" xfId="0" applyNumberFormat="1" applyFont="1" applyFill="1" applyBorder="1" applyAlignment="1">
      <alignment horizontal="center" vertical="center"/>
    </xf>
    <xf numFmtId="0" fontId="0" fillId="38" borderId="33" xfId="0" applyNumberFormat="1" applyFont="1" applyFill="1" applyBorder="1" applyAlignment="1">
      <alignment horizontal="center" vertical="center" wrapText="1"/>
    </xf>
    <xf numFmtId="0" fontId="0" fillId="38" borderId="3" xfId="0" applyNumberFormat="1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26" xfId="0" applyNumberFormat="1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vertical="center" wrapText="1"/>
    </xf>
    <xf numFmtId="0" fontId="0" fillId="37" borderId="0" xfId="0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vertical="center" wrapText="1"/>
    </xf>
    <xf numFmtId="0" fontId="0" fillId="38" borderId="34" xfId="0" applyNumberFormat="1" applyFont="1" applyFill="1" applyBorder="1" applyAlignment="1">
      <alignment horizontal="center" vertical="center" wrapText="1"/>
    </xf>
    <xf numFmtId="0" fontId="0" fillId="38" borderId="3" xfId="0" applyFont="1" applyFill="1" applyBorder="1" applyAlignment="1">
      <alignment horizontal="center" vertical="center" wrapText="1"/>
    </xf>
    <xf numFmtId="166" fontId="0" fillId="37" borderId="17" xfId="0" applyNumberFormat="1" applyFont="1" applyFill="1" applyBorder="1" applyAlignment="1">
      <alignment horizontal="center" vertical="center"/>
    </xf>
    <xf numFmtId="0" fontId="0" fillId="38" borderId="4" xfId="0" applyNumberFormat="1" applyFont="1" applyFill="1" applyBorder="1" applyAlignment="1">
      <alignment horizontal="center" vertical="center" wrapText="1"/>
    </xf>
    <xf numFmtId="0" fontId="0" fillId="38" borderId="2" xfId="0" applyNumberFormat="1" applyFont="1" applyFill="1" applyBorder="1" applyAlignment="1">
      <alignment horizontal="center" vertical="center" wrapText="1"/>
    </xf>
    <xf numFmtId="0" fontId="0" fillId="38" borderId="2" xfId="0" applyFont="1" applyFill="1" applyBorder="1" applyAlignment="1">
      <alignment horizontal="center" vertical="center" wrapText="1"/>
    </xf>
    <xf numFmtId="0" fontId="0" fillId="38" borderId="32" xfId="0" applyNumberFormat="1" applyFont="1" applyFill="1" applyBorder="1" applyAlignment="1">
      <alignment horizontal="center" vertical="center" wrapText="1"/>
    </xf>
    <xf numFmtId="0" fontId="0" fillId="38" borderId="31" xfId="0" applyNumberFormat="1" applyFont="1" applyFill="1" applyBorder="1" applyAlignment="1">
      <alignment horizontal="center" vertical="center" wrapText="1"/>
    </xf>
    <xf numFmtId="0" fontId="0" fillId="37" borderId="27" xfId="0" applyFont="1" applyFill="1" applyBorder="1" applyAlignment="1">
      <alignment horizontal="center" vertical="center" wrapText="1"/>
    </xf>
    <xf numFmtId="0" fontId="1" fillId="37" borderId="20" xfId="0" applyFont="1" applyFill="1" applyBorder="1" applyAlignment="1">
      <alignment horizontal="center" vertical="center" wrapText="1"/>
    </xf>
    <xf numFmtId="0" fontId="0" fillId="37" borderId="54" xfId="0" applyFont="1" applyFill="1" applyBorder="1" applyAlignment="1">
      <alignment horizontal="center" vertical="center"/>
    </xf>
    <xf numFmtId="0" fontId="0" fillId="37" borderId="55" xfId="0" applyFont="1" applyFill="1" applyBorder="1" applyAlignment="1">
      <alignment horizontal="center" vertical="center"/>
    </xf>
    <xf numFmtId="0" fontId="0" fillId="37" borderId="55" xfId="0" applyNumberFormat="1" applyFont="1" applyFill="1" applyBorder="1" applyAlignment="1">
      <alignment horizontal="center" vertical="center"/>
    </xf>
    <xf numFmtId="166" fontId="0" fillId="37" borderId="56" xfId="0" applyNumberFormat="1" applyFont="1" applyFill="1" applyBorder="1" applyAlignment="1">
      <alignment horizontal="center" vertical="center"/>
    </xf>
    <xf numFmtId="0" fontId="0" fillId="38" borderId="28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37" borderId="5" xfId="0" applyFont="1" applyFill="1" applyBorder="1" applyAlignment="1">
      <alignment horizontal="center" vertical="center" wrapText="1"/>
    </xf>
    <xf numFmtId="0" fontId="0" fillId="38" borderId="60" xfId="0" applyNumberFormat="1" applyFill="1" applyBorder="1" applyAlignment="1">
      <alignment horizontal="center" vertical="center" wrapText="1"/>
    </xf>
    <xf numFmtId="0" fontId="28" fillId="0" borderId="0" xfId="0" applyFont="1"/>
    <xf numFmtId="0" fontId="0" fillId="0" borderId="23" xfId="0" applyFill="1" applyBorder="1" applyAlignment="1">
      <alignment horizontal="center" vertical="center" wrapText="1"/>
    </xf>
    <xf numFmtId="0" fontId="23" fillId="35" borderId="61" xfId="0" applyFont="1" applyFill="1" applyBorder="1" applyAlignment="1">
      <alignment vertical="center"/>
    </xf>
    <xf numFmtId="0" fontId="23" fillId="35" borderId="62" xfId="0" applyFont="1" applyFill="1" applyBorder="1" applyAlignment="1">
      <alignment vertical="center"/>
    </xf>
    <xf numFmtId="0" fontId="23" fillId="35" borderId="63" xfId="0" applyFont="1" applyFill="1" applyBorder="1" applyAlignment="1">
      <alignment vertical="center"/>
    </xf>
    <xf numFmtId="0" fontId="29" fillId="0" borderId="0" xfId="0" applyNumberFormat="1" applyFont="1" applyFill="1" applyAlignment="1">
      <alignment vertical="center"/>
    </xf>
    <xf numFmtId="9" fontId="29" fillId="0" borderId="0" xfId="1" applyNumberFormat="1" applyFont="1" applyFill="1" applyAlignment="1">
      <alignment vertical="center"/>
    </xf>
    <xf numFmtId="166" fontId="29" fillId="0" borderId="0" xfId="0" applyNumberFormat="1" applyFont="1" applyFill="1" applyAlignment="1">
      <alignment vertical="center"/>
    </xf>
    <xf numFmtId="0" fontId="0" fillId="35" borderId="64" xfId="0" applyFill="1" applyBorder="1" applyAlignment="1">
      <alignment horizontal="center" vertical="center" wrapText="1"/>
    </xf>
    <xf numFmtId="0" fontId="0" fillId="35" borderId="47" xfId="0" applyFill="1" applyBorder="1" applyAlignment="1">
      <alignment horizontal="center" vertical="center" wrapText="1"/>
    </xf>
    <xf numFmtId="166" fontId="0" fillId="35" borderId="65" xfId="0" applyNumberFormat="1" applyFill="1" applyBorder="1" applyAlignment="1">
      <alignment horizontal="center" vertical="center" wrapText="1"/>
    </xf>
    <xf numFmtId="166" fontId="0" fillId="0" borderId="0" xfId="0" applyNumberFormat="1" applyFill="1" applyBorder="1" applyAlignment="1">
      <alignment vertical="center"/>
    </xf>
    <xf numFmtId="0" fontId="3" fillId="0" borderId="0" xfId="0" applyFont="1" applyFill="1"/>
    <xf numFmtId="0" fontId="3" fillId="0" borderId="0" xfId="0" applyFont="1"/>
    <xf numFmtId="0" fontId="0" fillId="33" borderId="18" xfId="0" applyFill="1" applyBorder="1" applyAlignment="1">
      <alignment horizontal="center" vertical="top"/>
    </xf>
    <xf numFmtId="0" fontId="0" fillId="33" borderId="19" xfId="0" applyFill="1" applyBorder="1" applyAlignment="1">
      <alignment horizontal="center" vertical="top"/>
    </xf>
    <xf numFmtId="0" fontId="0" fillId="33" borderId="19" xfId="0" applyNumberFormat="1" applyFill="1" applyBorder="1" applyAlignment="1">
      <alignment horizontal="center" vertical="top"/>
    </xf>
    <xf numFmtId="0" fontId="0" fillId="33" borderId="16" xfId="0" applyFill="1" applyBorder="1" applyAlignment="1">
      <alignment horizontal="center" vertical="top"/>
    </xf>
    <xf numFmtId="0" fontId="0" fillId="33" borderId="0" xfId="0" applyFill="1" applyBorder="1" applyAlignment="1">
      <alignment horizontal="center" vertical="top"/>
    </xf>
    <xf numFmtId="0" fontId="0" fillId="33" borderId="0" xfId="0" applyNumberFormat="1" applyFill="1" applyBorder="1" applyAlignment="1">
      <alignment horizontal="center" vertical="top"/>
    </xf>
    <xf numFmtId="166" fontId="0" fillId="33" borderId="17" xfId="0" applyNumberFormat="1" applyFill="1" applyBorder="1" applyAlignment="1">
      <alignment horizontal="center" vertical="top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left"/>
    </xf>
    <xf numFmtId="0" fontId="21" fillId="38" borderId="31" xfId="0" applyFont="1" applyFill="1" applyBorder="1" applyAlignment="1">
      <alignment horizontal="center" vertical="center"/>
    </xf>
    <xf numFmtId="0" fontId="0" fillId="38" borderId="70" xfId="0" applyNumberFormat="1" applyFill="1" applyBorder="1" applyAlignment="1">
      <alignment horizontal="center" vertical="center" wrapText="1"/>
    </xf>
    <xf numFmtId="0" fontId="0" fillId="33" borderId="73" xfId="0" applyFill="1" applyBorder="1" applyAlignment="1">
      <alignment horizontal="center" vertical="top"/>
    </xf>
    <xf numFmtId="0" fontId="0" fillId="33" borderId="74" xfId="0" applyFill="1" applyBorder="1" applyAlignment="1">
      <alignment horizontal="center" vertical="top"/>
    </xf>
    <xf numFmtId="0" fontId="0" fillId="33" borderId="74" xfId="0" applyNumberFormat="1" applyFill="1" applyBorder="1" applyAlignment="1">
      <alignment horizontal="center" vertical="top"/>
    </xf>
    <xf numFmtId="166" fontId="0" fillId="33" borderId="32" xfId="0" applyNumberFormat="1" applyFill="1" applyBorder="1" applyAlignment="1">
      <alignment horizontal="center" vertical="top"/>
    </xf>
    <xf numFmtId="166" fontId="16" fillId="36" borderId="6" xfId="0" applyNumberFormat="1" applyFont="1" applyFill="1" applyBorder="1" applyAlignment="1">
      <alignment horizontal="center" vertical="top"/>
    </xf>
    <xf numFmtId="0" fontId="0" fillId="37" borderId="54" xfId="0" applyFill="1" applyBorder="1" applyAlignment="1">
      <alignment horizontal="center" vertical="center"/>
    </xf>
    <xf numFmtId="0" fontId="0" fillId="37" borderId="55" xfId="0" applyFill="1" applyBorder="1" applyAlignment="1">
      <alignment horizontal="center" vertical="center"/>
    </xf>
    <xf numFmtId="0" fontId="0" fillId="37" borderId="55" xfId="0" applyNumberFormat="1" applyFill="1" applyBorder="1" applyAlignment="1">
      <alignment horizontal="center" vertical="center"/>
    </xf>
    <xf numFmtId="0" fontId="16" fillId="35" borderId="47" xfId="0" applyFont="1" applyFill="1" applyBorder="1" applyAlignment="1">
      <alignment vertical="center"/>
    </xf>
    <xf numFmtId="0" fontId="1" fillId="38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vertical="center" wrapText="1"/>
    </xf>
    <xf numFmtId="166" fontId="0" fillId="37" borderId="56" xfId="0" applyNumberFormat="1" applyFill="1" applyBorder="1" applyAlignment="1">
      <alignment horizontal="center" vertical="center"/>
    </xf>
    <xf numFmtId="0" fontId="0" fillId="38" borderId="26" xfId="0" applyNumberFormat="1" applyFill="1" applyBorder="1" applyAlignment="1">
      <alignment horizontal="center" vertical="center" wrapText="1"/>
    </xf>
    <xf numFmtId="0" fontId="0" fillId="38" borderId="25" xfId="0" applyNumberFormat="1" applyFill="1" applyBorder="1" applyAlignment="1">
      <alignment horizontal="center" vertical="center" wrapText="1"/>
    </xf>
    <xf numFmtId="0" fontId="0" fillId="37" borderId="27" xfId="0" applyFill="1" applyBorder="1" applyAlignment="1">
      <alignment horizontal="center" vertical="center" wrapText="1"/>
    </xf>
    <xf numFmtId="0" fontId="0" fillId="37" borderId="19" xfId="0" applyFill="1" applyBorder="1" applyAlignment="1">
      <alignment horizontal="center" vertical="center" wrapText="1"/>
    </xf>
    <xf numFmtId="0" fontId="0" fillId="37" borderId="19" xfId="0" applyNumberFormat="1" applyFill="1" applyBorder="1" applyAlignment="1">
      <alignment horizontal="center" vertical="center" wrapText="1"/>
    </xf>
    <xf numFmtId="0" fontId="0" fillId="37" borderId="18" xfId="0" applyNumberFormat="1" applyFill="1" applyBorder="1" applyAlignment="1">
      <alignment horizontal="center" vertical="center" wrapText="1"/>
    </xf>
    <xf numFmtId="0" fontId="0" fillId="38" borderId="31" xfId="0" applyNumberFormat="1" applyFill="1" applyBorder="1" applyAlignment="1">
      <alignment horizontal="center" vertical="center" wrapText="1"/>
    </xf>
    <xf numFmtId="0" fontId="0" fillId="38" borderId="32" xfId="0" applyNumberFormat="1" applyFill="1" applyBorder="1" applyAlignment="1">
      <alignment horizontal="center" vertical="center" wrapText="1"/>
    </xf>
    <xf numFmtId="0" fontId="0" fillId="38" borderId="56" xfId="0" applyNumberFormat="1" applyFill="1" applyBorder="1" applyAlignment="1">
      <alignment horizontal="center" vertical="center" wrapText="1"/>
    </xf>
    <xf numFmtId="0" fontId="1" fillId="38" borderId="75" xfId="0" applyNumberFormat="1" applyFont="1" applyFill="1" applyBorder="1" applyAlignment="1">
      <alignment horizontal="center" vertical="center" wrapText="1"/>
    </xf>
    <xf numFmtId="0" fontId="0" fillId="38" borderId="57" xfId="0" applyFill="1" applyBorder="1" applyAlignment="1">
      <alignment horizontal="center" vertical="center" wrapText="1"/>
    </xf>
    <xf numFmtId="0" fontId="0" fillId="38" borderId="57" xfId="0" applyNumberFormat="1" applyFill="1" applyBorder="1" applyAlignment="1">
      <alignment horizontal="center" vertical="center" wrapText="1"/>
    </xf>
    <xf numFmtId="0" fontId="0" fillId="38" borderId="59" xfId="0" applyNumberFormat="1" applyFill="1" applyBorder="1" applyAlignment="1">
      <alignment horizontal="center" vertical="center" wrapText="1"/>
    </xf>
    <xf numFmtId="0" fontId="0" fillId="38" borderId="43" xfId="0" applyNumberForma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8" fillId="36" borderId="27" xfId="0" applyFont="1" applyFill="1" applyBorder="1" applyAlignment="1">
      <alignment horizontal="center" vertical="center"/>
    </xf>
    <xf numFmtId="166" fontId="1" fillId="33" borderId="27" xfId="0" applyNumberFormat="1" applyFont="1" applyFill="1" applyBorder="1" applyAlignment="1">
      <alignment horizontal="center" vertical="center"/>
    </xf>
    <xf numFmtId="0" fontId="1" fillId="33" borderId="29" xfId="0" applyFont="1" applyFill="1" applyBorder="1" applyAlignment="1">
      <alignment horizontal="center" vertical="center"/>
    </xf>
    <xf numFmtId="0" fontId="16" fillId="35" borderId="58" xfId="0" applyFont="1" applyFill="1" applyBorder="1" applyAlignment="1">
      <alignment horizontal="center" vertical="center"/>
    </xf>
    <xf numFmtId="165" fontId="0" fillId="0" borderId="2" xfId="1" applyNumberFormat="1" applyFont="1" applyFill="1" applyBorder="1" applyAlignment="1">
      <alignment horizontal="center" vertical="center"/>
    </xf>
    <xf numFmtId="0" fontId="0" fillId="38" borderId="73" xfId="0" applyNumberFormat="1" applyFont="1" applyFill="1" applyBorder="1" applyAlignment="1">
      <alignment horizontal="center" vertical="center" wrapText="1"/>
    </xf>
    <xf numFmtId="0" fontId="0" fillId="38" borderId="60" xfId="0" applyNumberFormat="1" applyFont="1" applyFill="1" applyBorder="1" applyAlignment="1">
      <alignment horizontal="center" vertical="center" wrapText="1"/>
    </xf>
    <xf numFmtId="0" fontId="0" fillId="38" borderId="78" xfId="0" applyNumberFormat="1" applyFont="1" applyFill="1" applyBorder="1" applyAlignment="1">
      <alignment horizontal="center" vertical="center" wrapText="1"/>
    </xf>
    <xf numFmtId="0" fontId="0" fillId="38" borderId="75" xfId="0" applyNumberFormat="1" applyFont="1" applyFill="1" applyBorder="1" applyAlignment="1">
      <alignment horizontal="center" vertical="center" wrapText="1"/>
    </xf>
    <xf numFmtId="0" fontId="0" fillId="38" borderId="37" xfId="0" applyNumberFormat="1" applyFont="1" applyFill="1" applyBorder="1" applyAlignment="1">
      <alignment horizontal="center" vertical="center" wrapText="1"/>
    </xf>
    <xf numFmtId="0" fontId="0" fillId="38" borderId="75" xfId="0" applyFont="1" applyFill="1" applyBorder="1" applyAlignment="1">
      <alignment horizontal="center" vertical="center" wrapText="1"/>
    </xf>
    <xf numFmtId="1" fontId="0" fillId="33" borderId="19" xfId="0" applyNumberFormat="1" applyFill="1" applyBorder="1" applyAlignment="1">
      <alignment horizontal="center" vertical="top"/>
    </xf>
    <xf numFmtId="1" fontId="0" fillId="33" borderId="0" xfId="0" applyNumberFormat="1" applyFill="1" applyBorder="1" applyAlignment="1">
      <alignment horizontal="center" vertical="top"/>
    </xf>
    <xf numFmtId="1" fontId="0" fillId="33" borderId="17" xfId="0" applyNumberFormat="1" applyFill="1" applyBorder="1" applyAlignment="1">
      <alignment horizontal="center" vertical="top"/>
    </xf>
    <xf numFmtId="0" fontId="19" fillId="0" borderId="1" xfId="43" applyFont="1" applyBorder="1" applyAlignment="1">
      <alignment horizontal="center" vertical="center"/>
    </xf>
    <xf numFmtId="0" fontId="19" fillId="0" borderId="75" xfId="43" applyFont="1" applyBorder="1" applyAlignment="1">
      <alignment horizontal="center" vertical="center"/>
    </xf>
    <xf numFmtId="0" fontId="19" fillId="0" borderId="2" xfId="43" applyFont="1" applyBorder="1" applyAlignment="1">
      <alignment horizontal="center" vertical="center"/>
    </xf>
    <xf numFmtId="0" fontId="0" fillId="38" borderId="26" xfId="0" applyFill="1" applyBorder="1" applyAlignment="1">
      <alignment horizontal="center" vertical="center"/>
    </xf>
    <xf numFmtId="0" fontId="0" fillId="38" borderId="31" xfId="0" applyFill="1" applyBorder="1" applyAlignment="1">
      <alignment horizontal="center" vertical="top"/>
    </xf>
    <xf numFmtId="0" fontId="1" fillId="37" borderId="5" xfId="0" applyNumberFormat="1" applyFont="1" applyFill="1" applyBorder="1" applyAlignment="1">
      <alignment horizontal="center" vertical="center" wrapText="1"/>
    </xf>
    <xf numFmtId="0" fontId="30" fillId="33" borderId="40" xfId="0" applyFont="1" applyFill="1" applyBorder="1" applyAlignment="1">
      <alignment horizontal="left" vertical="center"/>
    </xf>
    <xf numFmtId="0" fontId="30" fillId="33" borderId="46" xfId="0" applyFont="1" applyFill="1" applyBorder="1" applyAlignment="1">
      <alignment horizontal="left" vertical="center"/>
    </xf>
    <xf numFmtId="0" fontId="30" fillId="33" borderId="38" xfId="0" applyFont="1" applyFill="1" applyBorder="1" applyAlignment="1">
      <alignment horizontal="left" vertical="center"/>
    </xf>
    <xf numFmtId="0" fontId="31" fillId="38" borderId="25" xfId="0" applyNumberFormat="1" applyFont="1" applyFill="1" applyBorder="1" applyAlignment="1">
      <alignment horizontal="center" vertical="center" wrapText="1"/>
    </xf>
    <xf numFmtId="0" fontId="31" fillId="38" borderId="26" xfId="0" applyNumberFormat="1" applyFont="1" applyFill="1" applyBorder="1" applyAlignment="1">
      <alignment horizontal="center" vertical="center" wrapText="1"/>
    </xf>
    <xf numFmtId="0" fontId="31" fillId="38" borderId="37" xfId="0" applyNumberFormat="1" applyFont="1" applyFill="1" applyBorder="1" applyAlignment="1">
      <alignment horizontal="center" vertical="center" wrapText="1"/>
    </xf>
    <xf numFmtId="0" fontId="31" fillId="38" borderId="80" xfId="0" applyNumberFormat="1" applyFont="1" applyFill="1" applyBorder="1" applyAlignment="1">
      <alignment horizontal="center" vertical="center" wrapText="1"/>
    </xf>
    <xf numFmtId="0" fontId="31" fillId="38" borderId="32" xfId="0" applyNumberFormat="1" applyFont="1" applyFill="1" applyBorder="1" applyAlignment="1">
      <alignment horizontal="center" vertical="center" wrapText="1"/>
    </xf>
    <xf numFmtId="0" fontId="31" fillId="38" borderId="31" xfId="0" applyNumberFormat="1" applyFont="1" applyFill="1" applyBorder="1" applyAlignment="1">
      <alignment horizontal="center" vertical="center" wrapText="1"/>
    </xf>
    <xf numFmtId="0" fontId="31" fillId="37" borderId="20" xfId="0" applyFont="1" applyFill="1" applyBorder="1" applyAlignment="1">
      <alignment horizontal="center" vertical="center" wrapText="1"/>
    </xf>
    <xf numFmtId="0" fontId="1" fillId="37" borderId="29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0" fillId="38" borderId="74" xfId="0" applyNumberFormat="1" applyFont="1" applyFill="1" applyBorder="1" applyAlignment="1">
      <alignment horizontal="center" vertical="center" wrapText="1"/>
    </xf>
    <xf numFmtId="0" fontId="0" fillId="38" borderId="68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16" fillId="36" borderId="1" xfId="0" applyFont="1" applyFill="1" applyBorder="1" applyAlignment="1">
      <alignment horizontal="left" vertical="top"/>
    </xf>
    <xf numFmtId="0" fontId="0" fillId="37" borderId="1" xfId="0" applyFill="1" applyBorder="1"/>
    <xf numFmtId="0" fontId="16" fillId="36" borderId="1" xfId="0" applyFont="1" applyFill="1" applyBorder="1" applyAlignment="1">
      <alignment horizontal="center" vertical="center"/>
    </xf>
    <xf numFmtId="0" fontId="16" fillId="36" borderId="1" xfId="0" applyFont="1" applyFill="1" applyBorder="1" applyAlignment="1">
      <alignment horizontal="center" vertical="center" wrapText="1"/>
    </xf>
    <xf numFmtId="0" fontId="1" fillId="37" borderId="1" xfId="0" applyFont="1" applyFill="1" applyBorder="1" applyAlignment="1">
      <alignment horizontal="center" vertical="center"/>
    </xf>
    <xf numFmtId="0" fontId="1" fillId="37" borderId="75" xfId="0" applyFont="1" applyFill="1" applyBorder="1" applyAlignment="1">
      <alignment horizontal="center" vertical="center"/>
    </xf>
    <xf numFmtId="0" fontId="1" fillId="37" borderId="21" xfId="0" applyFont="1" applyFill="1" applyBorder="1" applyAlignment="1">
      <alignment horizontal="center" vertical="center"/>
    </xf>
    <xf numFmtId="0" fontId="16" fillId="36" borderId="2" xfId="0" applyFont="1" applyFill="1" applyBorder="1" applyAlignment="1">
      <alignment horizontal="center" vertical="center"/>
    </xf>
    <xf numFmtId="9" fontId="1" fillId="37" borderId="1" xfId="1" applyFont="1" applyFill="1" applyBorder="1" applyAlignment="1">
      <alignment horizontal="center" vertical="center"/>
    </xf>
    <xf numFmtId="9" fontId="1" fillId="37" borderId="75" xfId="1" applyFont="1" applyFill="1" applyBorder="1" applyAlignment="1">
      <alignment horizontal="center" vertical="center"/>
    </xf>
    <xf numFmtId="9" fontId="1" fillId="37" borderId="2" xfId="1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center" vertical="center"/>
    </xf>
    <xf numFmtId="0" fontId="1" fillId="38" borderId="75" xfId="0" applyFont="1" applyFill="1" applyBorder="1" applyAlignment="1">
      <alignment horizontal="center" vertical="center"/>
    </xf>
    <xf numFmtId="0" fontId="1" fillId="38" borderId="2" xfId="0" applyFont="1" applyFill="1" applyBorder="1" applyAlignment="1">
      <alignment horizontal="center" vertical="center"/>
    </xf>
    <xf numFmtId="0" fontId="1" fillId="38" borderId="21" xfId="0" applyFont="1" applyFill="1" applyBorder="1" applyAlignment="1">
      <alignment horizontal="center" vertical="center"/>
    </xf>
    <xf numFmtId="0" fontId="1" fillId="39" borderId="1" xfId="0" applyFont="1" applyFill="1" applyBorder="1" applyAlignment="1">
      <alignment horizontal="center" vertical="center"/>
    </xf>
    <xf numFmtId="0" fontId="1" fillId="39" borderId="75" xfId="0" applyFont="1" applyFill="1" applyBorder="1" applyAlignment="1">
      <alignment horizontal="center" vertical="center"/>
    </xf>
    <xf numFmtId="0" fontId="1" fillId="39" borderId="2" xfId="0" applyFont="1" applyFill="1" applyBorder="1" applyAlignment="1">
      <alignment horizontal="center" vertical="center"/>
    </xf>
    <xf numFmtId="0" fontId="0" fillId="38" borderId="80" xfId="0" applyNumberFormat="1" applyFill="1" applyBorder="1" applyAlignment="1">
      <alignment horizontal="center" vertical="center" wrapText="1"/>
    </xf>
    <xf numFmtId="0" fontId="0" fillId="37" borderId="55" xfId="0" applyFill="1" applyBorder="1" applyAlignment="1">
      <alignment horizontal="center" vertical="center" wrapText="1"/>
    </xf>
    <xf numFmtId="165" fontId="0" fillId="0" borderId="75" xfId="1" applyNumberFormat="1" applyFont="1" applyBorder="1" applyAlignment="1">
      <alignment horizontal="center" vertical="center"/>
    </xf>
    <xf numFmtId="165" fontId="0" fillId="0" borderId="69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6" fontId="29" fillId="0" borderId="0" xfId="0" applyNumberFormat="1" applyFont="1" applyFill="1" applyAlignment="1">
      <alignment horizontal="right" vertical="center"/>
    </xf>
    <xf numFmtId="0" fontId="34" fillId="37" borderId="19" xfId="0" applyNumberFormat="1" applyFont="1" applyFill="1" applyBorder="1" applyAlignment="1">
      <alignment horizontal="center" vertical="center" wrapText="1"/>
    </xf>
    <xf numFmtId="0" fontId="35" fillId="0" borderId="0" xfId="0" applyNumberFormat="1" applyFont="1" applyFill="1" applyAlignment="1">
      <alignment vertical="center"/>
    </xf>
    <xf numFmtId="9" fontId="35" fillId="0" borderId="0" xfId="1" applyNumberFormat="1" applyFont="1" applyFill="1" applyAlignment="1">
      <alignment vertical="center"/>
    </xf>
    <xf numFmtId="166" fontId="35" fillId="0" borderId="0" xfId="0" applyNumberFormat="1" applyFont="1" applyFill="1" applyAlignment="1">
      <alignment vertical="center"/>
    </xf>
    <xf numFmtId="0" fontId="1" fillId="0" borderId="23" xfId="0" applyFont="1" applyFill="1" applyBorder="1" applyAlignment="1">
      <alignment horizontal="left" vertical="center" wrapText="1"/>
    </xf>
    <xf numFmtId="165" fontId="0" fillId="0" borderId="75" xfId="1" applyNumberFormat="1" applyFont="1" applyFill="1" applyBorder="1" applyAlignment="1">
      <alignment horizontal="center" vertical="center"/>
    </xf>
    <xf numFmtId="0" fontId="0" fillId="37" borderId="27" xfId="0" applyNumberFormat="1" applyFont="1" applyFill="1" applyBorder="1" applyAlignment="1">
      <alignment horizontal="center" vertical="center" wrapText="1"/>
    </xf>
    <xf numFmtId="0" fontId="1" fillId="39" borderId="1" xfId="0" applyNumberFormat="1" applyFont="1" applyFill="1" applyBorder="1" applyAlignment="1">
      <alignment horizontal="center" vertical="center" wrapText="1"/>
    </xf>
    <xf numFmtId="0" fontId="1" fillId="39" borderId="75" xfId="0" applyNumberFormat="1" applyFont="1" applyFill="1" applyBorder="1" applyAlignment="1">
      <alignment horizontal="center" vertical="center" wrapText="1"/>
    </xf>
    <xf numFmtId="0" fontId="1" fillId="39" borderId="2" xfId="0" applyNumberFormat="1" applyFont="1" applyFill="1" applyBorder="1" applyAlignment="1">
      <alignment horizontal="center" vertical="center" wrapText="1"/>
    </xf>
    <xf numFmtId="0" fontId="0" fillId="39" borderId="2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center" wrapText="1"/>
    </xf>
    <xf numFmtId="0" fontId="0" fillId="39" borderId="75" xfId="0" applyFont="1" applyFill="1" applyBorder="1" applyAlignment="1">
      <alignment horizontal="center" vertical="center" wrapText="1"/>
    </xf>
    <xf numFmtId="0" fontId="0" fillId="39" borderId="2" xfId="0" applyFont="1" applyFill="1" applyBorder="1" applyAlignment="1">
      <alignment horizontal="center" vertical="center" wrapText="1"/>
    </xf>
    <xf numFmtId="0" fontId="0" fillId="39" borderId="3" xfId="0" applyFont="1" applyFill="1" applyBorder="1" applyAlignment="1">
      <alignment horizontal="center" vertical="center" wrapText="1"/>
    </xf>
    <xf numFmtId="0" fontId="0" fillId="37" borderId="44" xfId="0" applyNumberFormat="1" applyFont="1" applyFill="1" applyBorder="1" applyAlignment="1">
      <alignment vertical="center"/>
    </xf>
    <xf numFmtId="0" fontId="16" fillId="35" borderId="47" xfId="0" applyFont="1" applyFill="1" applyBorder="1" applyAlignment="1">
      <alignment vertical="center"/>
    </xf>
    <xf numFmtId="0" fontId="16" fillId="40" borderId="44" xfId="0" applyFont="1" applyFill="1" applyBorder="1" applyAlignment="1">
      <alignment vertical="center"/>
    </xf>
    <xf numFmtId="165" fontId="0" fillId="0" borderId="81" xfId="1" applyNumberFormat="1" applyFont="1" applyBorder="1" applyAlignment="1">
      <alignment horizontal="center" vertical="center"/>
    </xf>
    <xf numFmtId="0" fontId="16" fillId="35" borderId="41" xfId="0" applyFont="1" applyFill="1" applyBorder="1" applyAlignment="1">
      <alignment vertical="center"/>
    </xf>
    <xf numFmtId="0" fontId="0" fillId="0" borderId="17" xfId="0" applyBorder="1" applyAlignment="1">
      <alignment horizontal="center" vertical="center" wrapText="1"/>
    </xf>
    <xf numFmtId="0" fontId="0" fillId="37" borderId="18" xfId="0" applyFill="1" applyBorder="1" applyAlignment="1">
      <alignment horizontal="center" vertical="center" wrapText="1"/>
    </xf>
    <xf numFmtId="0" fontId="0" fillId="38" borderId="36" xfId="0" applyFill="1" applyBorder="1" applyAlignment="1">
      <alignment horizontal="center" vertical="center" wrapText="1"/>
    </xf>
    <xf numFmtId="0" fontId="0" fillId="38" borderId="89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37" borderId="0" xfId="0" applyFill="1" applyAlignment="1">
      <alignment horizontal="center" vertical="center"/>
    </xf>
    <xf numFmtId="166" fontId="0" fillId="37" borderId="0" xfId="0" applyNumberFormat="1" applyFill="1" applyAlignment="1">
      <alignment horizontal="center" vertical="center"/>
    </xf>
    <xf numFmtId="0" fontId="0" fillId="38" borderId="33" xfId="0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 wrapText="1"/>
    </xf>
    <xf numFmtId="0" fontId="0" fillId="38" borderId="37" xfId="0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23" xfId="0" applyFont="1" applyBorder="1" applyAlignment="1">
      <alignment vertical="center" wrapText="1"/>
    </xf>
    <xf numFmtId="0" fontId="0" fillId="38" borderId="34" xfId="0" applyFill="1" applyBorder="1" applyAlignment="1">
      <alignment horizontal="center" vertical="center" wrapText="1"/>
    </xf>
    <xf numFmtId="0" fontId="1" fillId="38" borderId="3" xfId="0" applyFont="1" applyFill="1" applyBorder="1" applyAlignment="1">
      <alignment horizontal="center" vertical="center" wrapText="1"/>
    </xf>
    <xf numFmtId="0" fontId="0" fillId="38" borderId="43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38" borderId="72" xfId="0" applyFill="1" applyBorder="1" applyAlignment="1">
      <alignment horizontal="center" vertical="center" wrapText="1"/>
    </xf>
    <xf numFmtId="0" fontId="0" fillId="38" borderId="59" xfId="0" applyFill="1" applyBorder="1" applyAlignment="1">
      <alignment horizontal="center" vertical="center" wrapText="1"/>
    </xf>
    <xf numFmtId="0" fontId="1" fillId="38" borderId="57" xfId="0" applyFont="1" applyFill="1" applyBorder="1" applyAlignment="1">
      <alignment horizontal="center" vertical="center" wrapText="1"/>
    </xf>
    <xf numFmtId="0" fontId="0" fillId="38" borderId="83" xfId="0" applyFill="1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0" fillId="38" borderId="73" xfId="0" applyFill="1" applyBorder="1" applyAlignment="1">
      <alignment horizontal="center" vertical="center" wrapText="1"/>
    </xf>
    <xf numFmtId="0" fontId="0" fillId="38" borderId="86" xfId="0" applyFill="1" applyBorder="1" applyAlignment="1">
      <alignment horizontal="center" vertical="center" wrapText="1"/>
    </xf>
    <xf numFmtId="0" fontId="0" fillId="38" borderId="60" xfId="0" applyFill="1" applyBorder="1" applyAlignment="1">
      <alignment horizontal="center" vertical="center" wrapText="1"/>
    </xf>
    <xf numFmtId="0" fontId="1" fillId="38" borderId="2" xfId="0" applyFont="1" applyFill="1" applyBorder="1" applyAlignment="1">
      <alignment horizontal="center" vertical="center" wrapText="1"/>
    </xf>
    <xf numFmtId="0" fontId="0" fillId="38" borderId="80" xfId="0" applyFill="1" applyBorder="1" applyAlignment="1">
      <alignment horizontal="center" vertical="center" wrapText="1"/>
    </xf>
    <xf numFmtId="0" fontId="1" fillId="37" borderId="5" xfId="0" applyFont="1" applyFill="1" applyBorder="1" applyAlignment="1">
      <alignment horizontal="center" vertical="center" wrapText="1"/>
    </xf>
    <xf numFmtId="0" fontId="0" fillId="38" borderId="68" xfId="0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3" xfId="0" applyBorder="1"/>
    <xf numFmtId="0" fontId="0" fillId="38" borderId="67" xfId="0" applyFill="1" applyBorder="1" applyAlignment="1">
      <alignment horizontal="center" vertical="center" wrapText="1"/>
    </xf>
    <xf numFmtId="0" fontId="0" fillId="0" borderId="23" xfId="0" applyBorder="1" applyAlignment="1">
      <alignment horizontal="left" vertical="center"/>
    </xf>
    <xf numFmtId="0" fontId="0" fillId="37" borderId="29" xfId="0" applyFill="1" applyBorder="1" applyAlignment="1">
      <alignment horizontal="center" vertical="center" wrapText="1"/>
    </xf>
    <xf numFmtId="0" fontId="1" fillId="37" borderId="27" xfId="0" applyFont="1" applyFill="1" applyBorder="1" applyAlignment="1">
      <alignment horizontal="center" vertical="center" wrapText="1"/>
    </xf>
    <xf numFmtId="0" fontId="0" fillId="38" borderId="35" xfId="0" applyFill="1" applyBorder="1" applyAlignment="1">
      <alignment horizontal="center" vertical="center" wrapText="1"/>
    </xf>
    <xf numFmtId="0" fontId="0" fillId="0" borderId="6" xfId="0" applyBorder="1"/>
    <xf numFmtId="165" fontId="0" fillId="0" borderId="81" xfId="1" applyNumberFormat="1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1" fillId="37" borderId="16" xfId="0" applyFont="1" applyFill="1" applyBorder="1" applyAlignment="1">
      <alignment horizontal="center" vertical="center"/>
    </xf>
    <xf numFmtId="0" fontId="1" fillId="37" borderId="17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14" fontId="0" fillId="33" borderId="40" xfId="0" applyNumberFormat="1" applyFill="1" applyBorder="1" applyAlignment="1">
      <alignment vertical="center"/>
    </xf>
    <xf numFmtId="14" fontId="0" fillId="33" borderId="46" xfId="0" applyNumberFormat="1" applyFill="1" applyBorder="1" applyAlignment="1">
      <alignment vertical="center"/>
    </xf>
    <xf numFmtId="14" fontId="0" fillId="33" borderId="38" xfId="0" applyNumberFormat="1" applyFill="1" applyBorder="1" applyAlignment="1">
      <alignment vertical="center"/>
    </xf>
    <xf numFmtId="0" fontId="19" fillId="0" borderId="84" xfId="43" applyFont="1" applyBorder="1" applyAlignment="1">
      <alignment horizontal="center" vertical="center"/>
    </xf>
    <xf numFmtId="0" fontId="1" fillId="37" borderId="58" xfId="0" applyFont="1" applyFill="1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9" fontId="1" fillId="0" borderId="0" xfId="1" applyNumberFormat="1" applyFont="1" applyFill="1" applyAlignment="1">
      <alignment vertical="center"/>
    </xf>
    <xf numFmtId="166" fontId="1" fillId="0" borderId="0" xfId="0" applyNumberFormat="1" applyFont="1" applyFill="1" applyAlignment="1">
      <alignment vertical="center"/>
    </xf>
    <xf numFmtId="0" fontId="1" fillId="37" borderId="5" xfId="0" applyFont="1" applyFill="1" applyBorder="1" applyAlignment="1">
      <alignment horizontal="center" vertical="center"/>
    </xf>
    <xf numFmtId="0" fontId="1" fillId="37" borderId="5" xfId="0" applyFont="1" applyFill="1" applyBorder="1" applyAlignment="1">
      <alignment horizontal="center"/>
    </xf>
    <xf numFmtId="10" fontId="1" fillId="37" borderId="5" xfId="1" applyNumberFormat="1" applyFont="1" applyFill="1" applyBorder="1" applyAlignment="1">
      <alignment horizontal="center"/>
    </xf>
    <xf numFmtId="0" fontId="1" fillId="33" borderId="5" xfId="0" applyFont="1" applyFill="1" applyBorder="1" applyAlignment="1">
      <alignment horizontal="center" vertical="center"/>
    </xf>
    <xf numFmtId="0" fontId="1" fillId="37" borderId="5" xfId="0" applyNumberFormat="1" applyFont="1" applyFill="1" applyBorder="1" applyAlignment="1">
      <alignment horizontal="center"/>
    </xf>
    <xf numFmtId="0" fontId="1" fillId="37" borderId="5" xfId="0" applyNumberFormat="1" applyFont="1" applyFill="1" applyBorder="1" applyAlignment="1">
      <alignment horizontal="center" vertical="center"/>
    </xf>
    <xf numFmtId="10" fontId="1" fillId="37" borderId="5" xfId="1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left" vertical="center" wrapText="1"/>
    </xf>
    <xf numFmtId="0" fontId="1" fillId="33" borderId="5" xfId="0" applyNumberFormat="1" applyFont="1" applyFill="1" applyBorder="1" applyAlignment="1">
      <alignment horizontal="center" vertical="center"/>
    </xf>
    <xf numFmtId="10" fontId="1" fillId="33" borderId="5" xfId="1" applyNumberFormat="1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166" fontId="29" fillId="0" borderId="0" xfId="0" applyNumberFormat="1" applyFont="1" applyFill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0" fontId="29" fillId="0" borderId="0" xfId="0" applyNumberFormat="1" applyFont="1" applyFill="1" applyAlignment="1">
      <alignment horizontal="center" vertical="center"/>
    </xf>
    <xf numFmtId="0" fontId="35" fillId="0" borderId="0" xfId="0" applyNumberFormat="1" applyFont="1" applyFill="1" applyAlignment="1">
      <alignment horizontal="center" vertical="center"/>
    </xf>
    <xf numFmtId="0" fontId="31" fillId="38" borderId="1" xfId="0" applyFont="1" applyFill="1" applyBorder="1" applyAlignment="1">
      <alignment horizontal="center" vertical="center" wrapText="1"/>
    </xf>
    <xf numFmtId="0" fontId="31" fillId="38" borderId="31" xfId="0" applyFont="1" applyFill="1" applyBorder="1" applyAlignment="1">
      <alignment horizontal="center" vertical="top"/>
    </xf>
    <xf numFmtId="165" fontId="0" fillId="0" borderId="5" xfId="1" applyNumberFormat="1" applyFont="1" applyFill="1" applyBorder="1" applyAlignment="1">
      <alignment horizontal="center" vertical="center"/>
    </xf>
    <xf numFmtId="0" fontId="0" fillId="38" borderId="37" xfId="0" applyFont="1" applyFill="1" applyBorder="1" applyAlignment="1">
      <alignment horizontal="center" vertical="center" wrapText="1"/>
    </xf>
    <xf numFmtId="0" fontId="0" fillId="38" borderId="31" xfId="0" applyFont="1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top"/>
    </xf>
    <xf numFmtId="0" fontId="0" fillId="38" borderId="1" xfId="0" applyFill="1" applyBorder="1" applyAlignment="1">
      <alignment horizontal="center" vertical="top" wrapText="1"/>
    </xf>
    <xf numFmtId="0" fontId="0" fillId="38" borderId="79" xfId="0" applyFill="1" applyBorder="1" applyAlignment="1">
      <alignment horizontal="center" vertical="center" wrapText="1"/>
    </xf>
    <xf numFmtId="0" fontId="0" fillId="38" borderId="85" xfId="0" applyFill="1" applyBorder="1" applyAlignment="1">
      <alignment horizontal="center" vertical="center" wrapText="1"/>
    </xf>
    <xf numFmtId="0" fontId="0" fillId="38" borderId="2" xfId="0" applyFill="1" applyBorder="1" applyAlignment="1">
      <alignment horizontal="center" vertical="center"/>
    </xf>
    <xf numFmtId="0" fontId="0" fillId="38" borderId="35" xfId="0" applyNumberFormat="1" applyFill="1" applyBorder="1" applyAlignment="1">
      <alignment horizontal="center" vertical="center" wrapText="1"/>
    </xf>
    <xf numFmtId="0" fontId="1" fillId="38" borderId="76" xfId="0" applyNumberFormat="1" applyFont="1" applyFill="1" applyBorder="1" applyAlignment="1">
      <alignment horizontal="center" vertical="center" wrapText="1"/>
    </xf>
    <xf numFmtId="0" fontId="1" fillId="38" borderId="21" xfId="0" applyNumberFormat="1" applyFont="1" applyFill="1" applyBorder="1" applyAlignment="1">
      <alignment horizontal="center" vertical="center" wrapText="1"/>
    </xf>
    <xf numFmtId="0" fontId="0" fillId="38" borderId="71" xfId="0" applyFill="1" applyBorder="1" applyAlignment="1">
      <alignment horizontal="center" vertical="center" wrapText="1"/>
    </xf>
    <xf numFmtId="0" fontId="1" fillId="38" borderId="76" xfId="0" applyFont="1" applyFill="1" applyBorder="1" applyAlignment="1">
      <alignment horizontal="center" vertical="center" wrapText="1"/>
    </xf>
    <xf numFmtId="0" fontId="1" fillId="38" borderId="21" xfId="0" applyFont="1" applyFill="1" applyBorder="1" applyAlignment="1">
      <alignment horizontal="center" vertical="center" wrapText="1"/>
    </xf>
    <xf numFmtId="0" fontId="0" fillId="38" borderId="35" xfId="0" applyNumberFormat="1" applyFont="1" applyFill="1" applyBorder="1" applyAlignment="1">
      <alignment horizontal="center" vertical="center" wrapText="1"/>
    </xf>
    <xf numFmtId="165" fontId="0" fillId="0" borderId="21" xfId="1" applyNumberFormat="1" applyFont="1" applyFill="1" applyBorder="1" applyAlignment="1">
      <alignment horizontal="center" vertical="center"/>
    </xf>
    <xf numFmtId="0" fontId="1" fillId="38" borderId="69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39" borderId="37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1" fillId="41" borderId="80" xfId="0" applyFont="1" applyFill="1" applyBorder="1" applyAlignment="1">
      <alignment horizontal="center" vertical="center"/>
    </xf>
    <xf numFmtId="0" fontId="37" fillId="0" borderId="22" xfId="0" applyFont="1" applyFill="1" applyBorder="1" applyAlignment="1">
      <alignment horizontal="center" vertical="center" wrapText="1"/>
    </xf>
    <xf numFmtId="0" fontId="42" fillId="38" borderId="77" xfId="0" applyNumberFormat="1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 wrapText="1"/>
    </xf>
    <xf numFmtId="0" fontId="41" fillId="38" borderId="4" xfId="0" applyNumberFormat="1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2" fillId="38" borderId="4" xfId="0" applyNumberFormat="1" applyFont="1" applyFill="1" applyBorder="1" applyAlignment="1">
      <alignment horizontal="center" vertical="center" wrapText="1"/>
    </xf>
    <xf numFmtId="0" fontId="41" fillId="38" borderId="72" xfId="0" applyNumberFormat="1" applyFont="1" applyFill="1" applyBorder="1" applyAlignment="1">
      <alignment horizontal="center" vertical="center" wrapText="1"/>
    </xf>
    <xf numFmtId="0" fontId="41" fillId="38" borderId="33" xfId="0" applyNumberFormat="1" applyFont="1" applyFill="1" applyBorder="1" applyAlignment="1">
      <alignment horizontal="center" vertical="center" wrapText="1"/>
    </xf>
    <xf numFmtId="0" fontId="41" fillId="38" borderId="59" xfId="0" applyNumberFormat="1" applyFont="1" applyFill="1" applyBorder="1" applyAlignment="1">
      <alignment horizontal="center" vertical="center" wrapText="1"/>
    </xf>
    <xf numFmtId="0" fontId="41" fillId="33" borderId="27" xfId="0" applyNumberFormat="1" applyFont="1" applyFill="1" applyBorder="1" applyAlignment="1">
      <alignment horizontal="center" vertical="center" wrapText="1"/>
    </xf>
    <xf numFmtId="0" fontId="41" fillId="33" borderId="27" xfId="0" applyFont="1" applyFill="1" applyBorder="1" applyAlignment="1">
      <alignment horizontal="center" wrapText="1"/>
    </xf>
    <xf numFmtId="0" fontId="43" fillId="33" borderId="27" xfId="0" applyFont="1" applyFill="1" applyBorder="1" applyAlignment="1">
      <alignment horizontal="center" wrapText="1"/>
    </xf>
    <xf numFmtId="0" fontId="42" fillId="38" borderId="33" xfId="0" applyNumberFormat="1" applyFont="1" applyFill="1" applyBorder="1" applyAlignment="1">
      <alignment horizontal="center" vertical="center" wrapText="1"/>
    </xf>
    <xf numFmtId="0" fontId="41" fillId="38" borderId="82" xfId="0" applyNumberFormat="1" applyFont="1" applyFill="1" applyBorder="1" applyAlignment="1">
      <alignment horizontal="center" vertical="center" wrapText="1"/>
    </xf>
    <xf numFmtId="0" fontId="41" fillId="33" borderId="0" xfId="0" applyNumberFormat="1" applyFont="1" applyFill="1" applyBorder="1" applyAlignment="1">
      <alignment horizontal="center" vertical="center" wrapText="1"/>
    </xf>
    <xf numFmtId="0" fontId="41" fillId="33" borderId="0" xfId="0" applyFont="1" applyFill="1" applyBorder="1" applyAlignment="1">
      <alignment horizontal="center" wrapText="1"/>
    </xf>
    <xf numFmtId="0" fontId="43" fillId="33" borderId="0" xfId="0" applyFont="1" applyFill="1" applyBorder="1" applyAlignment="1">
      <alignment horizontal="center" wrapText="1"/>
    </xf>
    <xf numFmtId="0" fontId="45" fillId="33" borderId="17" xfId="0" applyFont="1" applyFill="1" applyBorder="1" applyAlignment="1">
      <alignment horizontal="center" vertical="center"/>
    </xf>
    <xf numFmtId="0" fontId="41" fillId="38" borderId="36" xfId="0" applyNumberFormat="1" applyFont="1" applyFill="1" applyBorder="1" applyAlignment="1">
      <alignment horizontal="center" vertical="center" wrapText="1"/>
    </xf>
    <xf numFmtId="0" fontId="42" fillId="38" borderId="90" xfId="0" applyNumberFormat="1" applyFont="1" applyFill="1" applyBorder="1" applyAlignment="1">
      <alignment horizontal="center" vertical="center" wrapText="1"/>
    </xf>
    <xf numFmtId="0" fontId="41" fillId="38" borderId="66" xfId="0" applyNumberFormat="1" applyFont="1" applyFill="1" applyBorder="1" applyAlignment="1">
      <alignment horizontal="center" vertical="center" wrapText="1"/>
    </xf>
    <xf numFmtId="0" fontId="42" fillId="38" borderId="34" xfId="0" applyNumberFormat="1" applyFont="1" applyFill="1" applyBorder="1" applyAlignment="1">
      <alignment horizontal="center" vertical="center" wrapText="1"/>
    </xf>
    <xf numFmtId="0" fontId="42" fillId="38" borderId="78" xfId="0" applyNumberFormat="1" applyFont="1" applyFill="1" applyBorder="1" applyAlignment="1">
      <alignment horizontal="center" vertical="center" wrapText="1"/>
    </xf>
    <xf numFmtId="0" fontId="41" fillId="0" borderId="6" xfId="0" applyFont="1" applyFill="1" applyBorder="1" applyAlignment="1">
      <alignment horizontal="left" vertical="center" wrapText="1"/>
    </xf>
    <xf numFmtId="0" fontId="43" fillId="33" borderId="6" xfId="0" applyNumberFormat="1" applyFont="1" applyFill="1" applyBorder="1" applyAlignment="1">
      <alignment horizontal="center" vertical="top" wrapText="1"/>
    </xf>
    <xf numFmtId="0" fontId="41" fillId="0" borderId="0" xfId="0" applyFont="1" applyAlignment="1"/>
    <xf numFmtId="0" fontId="41" fillId="0" borderId="0" xfId="0" applyFont="1" applyAlignment="1">
      <alignment horizontal="center"/>
    </xf>
    <xf numFmtId="0" fontId="41" fillId="38" borderId="93" xfId="0" applyNumberFormat="1" applyFont="1" applyFill="1" applyBorder="1" applyAlignment="1">
      <alignment horizontal="center" vertical="center" wrapText="1"/>
    </xf>
    <xf numFmtId="0" fontId="41" fillId="38" borderId="90" xfId="0" applyNumberFormat="1" applyFont="1" applyFill="1" applyBorder="1" applyAlignment="1">
      <alignment horizontal="center" vertical="center" wrapText="1"/>
    </xf>
    <xf numFmtId="0" fontId="41" fillId="38" borderId="34" xfId="0" applyNumberFormat="1" applyFont="1" applyFill="1" applyBorder="1" applyAlignment="1">
      <alignment horizontal="center" vertical="center" wrapText="1"/>
    </xf>
    <xf numFmtId="0" fontId="41" fillId="38" borderId="78" xfId="0" applyNumberFormat="1" applyFont="1" applyFill="1" applyBorder="1" applyAlignment="1">
      <alignment horizontal="center" vertical="center" wrapText="1"/>
    </xf>
    <xf numFmtId="0" fontId="41" fillId="38" borderId="68" xfId="0" applyFont="1" applyFill="1" applyBorder="1" applyAlignment="1">
      <alignment horizontal="center" wrapText="1"/>
    </xf>
    <xf numFmtId="0" fontId="41" fillId="38" borderId="92" xfId="0" applyFont="1" applyFill="1" applyBorder="1" applyAlignment="1">
      <alignment horizontal="center" wrapText="1"/>
    </xf>
    <xf numFmtId="0" fontId="41" fillId="38" borderId="91" xfId="0" applyFont="1" applyFill="1" applyBorder="1" applyAlignment="1">
      <alignment horizontal="center" vertical="center" wrapText="1"/>
    </xf>
    <xf numFmtId="0" fontId="41" fillId="38" borderId="91" xfId="0" applyFont="1" applyFill="1" applyBorder="1" applyAlignment="1">
      <alignment horizontal="center" wrapText="1"/>
    </xf>
    <xf numFmtId="0" fontId="41" fillId="38" borderId="93" xfId="0" applyFont="1" applyFill="1" applyBorder="1" applyAlignment="1">
      <alignment horizontal="center" wrapText="1"/>
    </xf>
    <xf numFmtId="0" fontId="41" fillId="38" borderId="23" xfId="0" applyFont="1" applyFill="1" applyBorder="1" applyAlignment="1">
      <alignment horizontal="center" wrapText="1"/>
    </xf>
    <xf numFmtId="165" fontId="43" fillId="0" borderId="69" xfId="1" applyNumberFormat="1" applyFont="1" applyBorder="1" applyAlignment="1">
      <alignment horizontal="center" vertical="center"/>
    </xf>
    <xf numFmtId="165" fontId="43" fillId="0" borderId="1" xfId="1" applyNumberFormat="1" applyFont="1" applyBorder="1" applyAlignment="1">
      <alignment horizontal="center" vertical="center"/>
    </xf>
    <xf numFmtId="165" fontId="43" fillId="0" borderId="75" xfId="1" applyNumberFormat="1" applyFont="1" applyBorder="1" applyAlignment="1">
      <alignment horizontal="center" vertical="center"/>
    </xf>
    <xf numFmtId="165" fontId="43" fillId="0" borderId="6" xfId="1" applyNumberFormat="1" applyFont="1" applyBorder="1" applyAlignment="1">
      <alignment horizontal="center" vertical="center"/>
    </xf>
    <xf numFmtId="0" fontId="41" fillId="38" borderId="74" xfId="0" applyFont="1" applyFill="1" applyBorder="1" applyAlignment="1">
      <alignment horizontal="center" wrapText="1"/>
    </xf>
    <xf numFmtId="0" fontId="41" fillId="38" borderId="55" xfId="0" applyFont="1" applyFill="1" applyBorder="1" applyAlignment="1">
      <alignment horizontal="center" wrapText="1"/>
    </xf>
    <xf numFmtId="165" fontId="43" fillId="0" borderId="70" xfId="1" applyNumberFormat="1" applyFont="1" applyBorder="1" applyAlignment="1">
      <alignment horizontal="center" vertical="center"/>
    </xf>
    <xf numFmtId="165" fontId="43" fillId="0" borderId="84" xfId="1" applyNumberFormat="1" applyFont="1" applyBorder="1" applyAlignment="1">
      <alignment horizontal="center" vertical="center"/>
    </xf>
    <xf numFmtId="0" fontId="43" fillId="0" borderId="6" xfId="0" applyNumberFormat="1" applyFont="1" applyFill="1" applyBorder="1" applyAlignment="1">
      <alignment horizontal="center" vertical="top" wrapText="1"/>
    </xf>
    <xf numFmtId="0" fontId="41" fillId="38" borderId="95" xfId="0" applyFont="1" applyFill="1" applyBorder="1" applyAlignment="1">
      <alignment horizontal="center" wrapText="1"/>
    </xf>
    <xf numFmtId="0" fontId="44" fillId="38" borderId="31" xfId="0" applyFont="1" applyFill="1" applyBorder="1" applyAlignment="1">
      <alignment horizontal="left" vertical="center"/>
    </xf>
    <xf numFmtId="0" fontId="36" fillId="0" borderId="5" xfId="0" applyFont="1" applyFill="1" applyBorder="1" applyAlignment="1">
      <alignment horizontal="center" vertical="center"/>
    </xf>
    <xf numFmtId="0" fontId="36" fillId="0" borderId="5" xfId="0" applyNumberFormat="1" applyFont="1" applyFill="1" applyBorder="1" applyAlignment="1">
      <alignment horizontal="center" vertical="center"/>
    </xf>
    <xf numFmtId="10" fontId="36" fillId="0" borderId="5" xfId="1" applyNumberFormat="1" applyFont="1" applyFill="1" applyBorder="1" applyAlignment="1">
      <alignment horizontal="center" vertical="center"/>
    </xf>
    <xf numFmtId="166" fontId="36" fillId="0" borderId="5" xfId="0" applyNumberFormat="1" applyFont="1" applyFill="1" applyBorder="1" applyAlignment="1">
      <alignment horizontal="center" vertical="center"/>
    </xf>
    <xf numFmtId="0" fontId="36" fillId="0" borderId="94" xfId="0" applyNumberFormat="1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wrapText="1"/>
    </xf>
    <xf numFmtId="165" fontId="37" fillId="0" borderId="5" xfId="1" applyNumberFormat="1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165" fontId="43" fillId="0" borderId="22" xfId="1" applyNumberFormat="1" applyFont="1" applyBorder="1" applyAlignment="1">
      <alignment horizontal="center" vertical="center"/>
    </xf>
    <xf numFmtId="165" fontId="43" fillId="0" borderId="91" xfId="1" applyNumberFormat="1" applyFont="1" applyBorder="1" applyAlignment="1">
      <alignment horizontal="center" vertical="center"/>
    </xf>
    <xf numFmtId="0" fontId="39" fillId="38" borderId="92" xfId="0" applyFont="1" applyFill="1" applyBorder="1" applyAlignment="1">
      <alignment horizontal="left" vertical="center"/>
    </xf>
    <xf numFmtId="0" fontId="39" fillId="38" borderId="91" xfId="0" applyFont="1" applyFill="1" applyBorder="1" applyAlignment="1">
      <alignment horizontal="left" vertical="center"/>
    </xf>
    <xf numFmtId="0" fontId="40" fillId="38" borderId="91" xfId="0" applyFont="1" applyFill="1" applyBorder="1" applyAlignment="1">
      <alignment horizontal="left" vertical="center"/>
    </xf>
    <xf numFmtId="0" fontId="39" fillId="38" borderId="95" xfId="0" applyFont="1" applyFill="1" applyBorder="1" applyAlignment="1">
      <alignment horizontal="left" vertical="center"/>
    </xf>
    <xf numFmtId="0" fontId="44" fillId="38" borderId="92" xfId="0" applyFont="1" applyFill="1" applyBorder="1" applyAlignment="1">
      <alignment horizontal="center" vertical="center"/>
    </xf>
    <xf numFmtId="0" fontId="44" fillId="38" borderId="91" xfId="0" applyFont="1" applyFill="1" applyBorder="1" applyAlignment="1">
      <alignment horizontal="center" vertical="center"/>
    </xf>
    <xf numFmtId="0" fontId="44" fillId="38" borderId="95" xfId="0" applyFont="1" applyFill="1" applyBorder="1" applyAlignment="1">
      <alignment horizontal="center" vertical="center"/>
    </xf>
    <xf numFmtId="0" fontId="45" fillId="33" borderId="27" xfId="0" applyFont="1" applyFill="1" applyBorder="1" applyAlignment="1">
      <alignment horizontal="center" vertical="center"/>
    </xf>
    <xf numFmtId="0" fontId="39" fillId="38" borderId="92" xfId="0" applyFont="1" applyFill="1" applyBorder="1" applyAlignment="1">
      <alignment horizontal="center" vertical="center"/>
    </xf>
    <xf numFmtId="0" fontId="39" fillId="38" borderId="91" xfId="0" applyFont="1" applyFill="1" applyBorder="1" applyAlignment="1">
      <alignment horizontal="center" vertical="center"/>
    </xf>
    <xf numFmtId="0" fontId="40" fillId="38" borderId="91" xfId="0" applyFont="1" applyFill="1" applyBorder="1" applyAlignment="1">
      <alignment horizontal="center" vertical="center"/>
    </xf>
    <xf numFmtId="0" fontId="39" fillId="38" borderId="9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1" fillId="37" borderId="18" xfId="0" applyNumberFormat="1" applyFont="1" applyFill="1" applyBorder="1" applyAlignment="1">
      <alignment vertical="center"/>
    </xf>
    <xf numFmtId="0" fontId="0" fillId="37" borderId="19" xfId="0" applyNumberFormat="1" applyFont="1" applyFill="1" applyBorder="1" applyAlignment="1">
      <alignment vertical="center" wrapText="1"/>
    </xf>
    <xf numFmtId="0" fontId="34" fillId="37" borderId="19" xfId="0" applyNumberFormat="1" applyFont="1" applyFill="1" applyBorder="1" applyAlignment="1">
      <alignment vertical="center" wrapText="1"/>
    </xf>
    <xf numFmtId="0" fontId="0" fillId="37" borderId="27" xfId="0" applyNumberFormat="1" applyFont="1" applyFill="1" applyBorder="1" applyAlignment="1">
      <alignment vertical="center" wrapText="1"/>
    </xf>
    <xf numFmtId="0" fontId="25" fillId="36" borderId="5" xfId="0" applyFont="1" applyFill="1" applyBorder="1" applyAlignment="1">
      <alignment horizontal="center" vertical="center" wrapText="1"/>
    </xf>
    <xf numFmtId="166" fontId="25" fillId="36" borderId="5" xfId="0" applyNumberFormat="1" applyFont="1" applyFill="1" applyBorder="1" applyAlignment="1">
      <alignment horizontal="center" vertical="center" wrapText="1"/>
    </xf>
    <xf numFmtId="164" fontId="25" fillId="36" borderId="5" xfId="0" applyNumberFormat="1" applyFont="1" applyFill="1" applyBorder="1" applyAlignment="1">
      <alignment horizontal="centerContinuous" vertical="center" wrapText="1"/>
    </xf>
    <xf numFmtId="164" fontId="25" fillId="36" borderId="27" xfId="0" applyNumberFormat="1" applyFont="1" applyFill="1" applyBorder="1" applyAlignment="1">
      <alignment horizontal="centerContinuous" vertical="center" wrapText="1"/>
    </xf>
    <xf numFmtId="0" fontId="25" fillId="36" borderId="5" xfId="0" applyFont="1" applyFill="1" applyBorder="1" applyAlignment="1">
      <alignment horizontal="center" vertical="center"/>
    </xf>
    <xf numFmtId="0" fontId="41" fillId="0" borderId="17" xfId="0" applyFont="1" applyFill="1" applyBorder="1" applyAlignment="1">
      <alignment horizontal="center" vertical="center" wrapText="1"/>
    </xf>
    <xf numFmtId="9" fontId="1" fillId="34" borderId="0" xfId="1" applyNumberFormat="1" applyFont="1" applyFill="1" applyBorder="1" applyAlignment="1">
      <alignment vertical="center"/>
    </xf>
    <xf numFmtId="0" fontId="28" fillId="37" borderId="20" xfId="0" applyFont="1" applyFill="1" applyBorder="1" applyAlignment="1">
      <alignment horizontal="center" vertical="center" wrapText="1"/>
    </xf>
    <xf numFmtId="0" fontId="44" fillId="38" borderId="26" xfId="0" applyFont="1" applyFill="1" applyBorder="1" applyAlignment="1">
      <alignment horizontal="left" vertical="center"/>
    </xf>
    <xf numFmtId="0" fontId="41" fillId="38" borderId="92" xfId="0" applyFont="1" applyFill="1" applyBorder="1" applyAlignment="1">
      <alignment horizontal="center" vertical="center"/>
    </xf>
    <xf numFmtId="0" fontId="41" fillId="38" borderId="91" xfId="0" applyFont="1" applyFill="1" applyBorder="1" applyAlignment="1">
      <alignment horizontal="center" vertical="center"/>
    </xf>
    <xf numFmtId="0" fontId="41" fillId="38" borderId="95" xfId="0" applyFont="1" applyFill="1" applyBorder="1" applyAlignment="1">
      <alignment horizontal="center" vertical="center"/>
    </xf>
    <xf numFmtId="0" fontId="43" fillId="0" borderId="22" xfId="0" applyFont="1" applyFill="1" applyBorder="1" applyAlignment="1">
      <alignment horizontal="center" vertical="center" wrapText="1"/>
    </xf>
    <xf numFmtId="0" fontId="43" fillId="0" borderId="91" xfId="0" applyFont="1" applyFill="1" applyBorder="1" applyAlignment="1">
      <alignment horizontal="center" vertical="center" wrapText="1"/>
    </xf>
    <xf numFmtId="0" fontId="43" fillId="0" borderId="36" xfId="0" applyFont="1" applyFill="1" applyBorder="1" applyAlignment="1">
      <alignment horizontal="center" vertical="center" wrapText="1"/>
    </xf>
    <xf numFmtId="0" fontId="43" fillId="0" borderId="33" xfId="0" applyFont="1" applyFill="1" applyBorder="1" applyAlignment="1">
      <alignment horizontal="center" vertical="center" wrapText="1"/>
    </xf>
    <xf numFmtId="0" fontId="43" fillId="0" borderId="59" xfId="0" applyFont="1" applyFill="1" applyBorder="1" applyAlignment="1">
      <alignment horizontal="center" vertical="center" wrapText="1"/>
    </xf>
    <xf numFmtId="0" fontId="46" fillId="0" borderId="4" xfId="0" applyFont="1" applyFill="1" applyBorder="1" applyAlignment="1">
      <alignment horizontal="center" vertical="center" wrapText="1"/>
    </xf>
    <xf numFmtId="0" fontId="43" fillId="0" borderId="82" xfId="0" applyFont="1" applyFill="1" applyBorder="1" applyAlignment="1">
      <alignment horizontal="center" vertical="center" wrapText="1"/>
    </xf>
    <xf numFmtId="165" fontId="43" fillId="0" borderId="93" xfId="1" applyNumberFormat="1" applyFont="1" applyBorder="1" applyAlignment="1">
      <alignment horizontal="center" vertical="center"/>
    </xf>
    <xf numFmtId="0" fontId="29" fillId="39" borderId="1" xfId="0" applyNumberFormat="1" applyFont="1" applyFill="1" applyBorder="1" applyAlignment="1">
      <alignment horizontal="center" vertical="center" wrapText="1"/>
    </xf>
    <xf numFmtId="0" fontId="1" fillId="0" borderId="17" xfId="0" applyFont="1" applyBorder="1" applyAlignment="1">
      <alignment vertical="center"/>
    </xf>
    <xf numFmtId="0" fontId="41" fillId="0" borderId="23" xfId="0" applyFont="1" applyFill="1" applyBorder="1" applyAlignment="1">
      <alignment horizontal="left" vertical="center" wrapText="1"/>
    </xf>
    <xf numFmtId="0" fontId="3" fillId="38" borderId="34" xfId="0" applyNumberFormat="1" applyFont="1" applyFill="1" applyBorder="1" applyAlignment="1">
      <alignment horizontal="center" vertical="center" wrapText="1"/>
    </xf>
    <xf numFmtId="0" fontId="3" fillId="38" borderId="33" xfId="0" applyNumberFormat="1" applyFont="1" applyFill="1" applyBorder="1" applyAlignment="1">
      <alignment horizontal="center" vertical="center" wrapText="1"/>
    </xf>
    <xf numFmtId="0" fontId="41" fillId="38" borderId="6" xfId="0" applyFont="1" applyFill="1" applyBorder="1" applyAlignment="1">
      <alignment horizontal="center" vertical="center"/>
    </xf>
    <xf numFmtId="0" fontId="41" fillId="0" borderId="17" xfId="0" applyFont="1" applyFill="1" applyBorder="1" applyAlignment="1">
      <alignment horizontal="left" vertical="center" wrapText="1"/>
    </xf>
    <xf numFmtId="0" fontId="41" fillId="38" borderId="96" xfId="0" applyFont="1" applyFill="1" applyBorder="1" applyAlignment="1">
      <alignment horizontal="center" wrapText="1"/>
    </xf>
    <xf numFmtId="165" fontId="43" fillId="0" borderId="77" xfId="1" applyNumberFormat="1" applyFont="1" applyBorder="1" applyAlignment="1">
      <alignment horizontal="center" vertical="center"/>
    </xf>
    <xf numFmtId="0" fontId="41" fillId="38" borderId="26" xfId="0" applyFont="1" applyFill="1" applyBorder="1" applyAlignment="1">
      <alignment horizontal="center" wrapText="1"/>
    </xf>
    <xf numFmtId="0" fontId="0" fillId="38" borderId="72" xfId="0" applyNumberFormat="1" applyFont="1" applyFill="1" applyBorder="1" applyAlignment="1">
      <alignment horizontal="center" vertical="center" wrapText="1"/>
    </xf>
    <xf numFmtId="165" fontId="43" fillId="0" borderId="82" xfId="1" applyNumberFormat="1" applyFont="1" applyBorder="1" applyAlignment="1">
      <alignment horizontal="center" vertical="center"/>
    </xf>
    <xf numFmtId="0" fontId="44" fillId="38" borderId="87" xfId="0" applyFont="1" applyFill="1" applyBorder="1" applyAlignment="1">
      <alignment horizontal="left" vertical="center"/>
    </xf>
    <xf numFmtId="0" fontId="41" fillId="38" borderId="87" xfId="0" applyFont="1" applyFill="1" applyBorder="1" applyAlignment="1">
      <alignment horizontal="left" vertical="center"/>
    </xf>
    <xf numFmtId="0" fontId="41" fillId="38" borderId="96" xfId="0" applyFont="1" applyFill="1" applyBorder="1" applyAlignment="1">
      <alignment horizontal="left" vertical="center"/>
    </xf>
    <xf numFmtId="0" fontId="41" fillId="38" borderId="68" xfId="0" applyFont="1" applyFill="1" applyBorder="1" applyAlignment="1">
      <alignment horizontal="left" vertical="center"/>
    </xf>
    <xf numFmtId="0" fontId="44" fillId="38" borderId="68" xfId="0" applyFont="1" applyFill="1" applyBorder="1" applyAlignment="1">
      <alignment horizontal="left" vertical="center"/>
    </xf>
    <xf numFmtId="165" fontId="43" fillId="0" borderId="25" xfId="1" applyNumberFormat="1" applyFont="1" applyBorder="1" applyAlignment="1">
      <alignment horizontal="center" vertical="center"/>
    </xf>
    <xf numFmtId="165" fontId="43" fillId="0" borderId="32" xfId="1" applyNumberFormat="1" applyFont="1" applyBorder="1" applyAlignment="1">
      <alignment horizontal="center" vertical="center"/>
    </xf>
    <xf numFmtId="0" fontId="42" fillId="38" borderId="96" xfId="0" applyNumberFormat="1" applyFont="1" applyFill="1" applyBorder="1" applyAlignment="1">
      <alignment horizontal="center" vertical="center" wrapText="1"/>
    </xf>
    <xf numFmtId="0" fontId="41" fillId="38" borderId="68" xfId="0" applyNumberFormat="1" applyFont="1" applyFill="1" applyBorder="1" applyAlignment="1">
      <alignment horizontal="center" vertical="center" wrapText="1"/>
    </xf>
    <xf numFmtId="0" fontId="42" fillId="38" borderId="68" xfId="0" applyNumberFormat="1" applyFont="1" applyFill="1" applyBorder="1" applyAlignment="1">
      <alignment horizontal="center" vertical="center" wrapText="1"/>
    </xf>
    <xf numFmtId="0" fontId="44" fillId="38" borderId="28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31" fillId="38" borderId="43" xfId="0" applyNumberFormat="1" applyFont="1" applyFill="1" applyBorder="1" applyAlignment="1">
      <alignment horizontal="center" vertical="center" wrapText="1"/>
    </xf>
    <xf numFmtId="0" fontId="0" fillId="41" borderId="37" xfId="0" applyFont="1" applyFill="1" applyBorder="1" applyAlignment="1">
      <alignment horizontal="center" vertical="center"/>
    </xf>
    <xf numFmtId="166" fontId="1" fillId="37" borderId="20" xfId="0" applyNumberFormat="1" applyFont="1" applyFill="1" applyBorder="1" applyAlignment="1">
      <alignment horizontal="center" vertical="center"/>
    </xf>
    <xf numFmtId="0" fontId="42" fillId="38" borderId="98" xfId="0" applyNumberFormat="1" applyFont="1" applyFill="1" applyBorder="1" applyAlignment="1">
      <alignment horizontal="center" vertical="center" wrapText="1"/>
    </xf>
    <xf numFmtId="0" fontId="41" fillId="38" borderId="60" xfId="0" applyNumberFormat="1" applyFont="1" applyFill="1" applyBorder="1" applyAlignment="1">
      <alignment horizontal="center" vertical="center" wrapText="1"/>
    </xf>
    <xf numFmtId="0" fontId="42" fillId="38" borderId="60" xfId="0" applyNumberFormat="1" applyFont="1" applyFill="1" applyBorder="1" applyAlignment="1">
      <alignment horizontal="center" vertical="center" wrapText="1"/>
    </xf>
    <xf numFmtId="0" fontId="41" fillId="38" borderId="54" xfId="0" applyNumberFormat="1" applyFont="1" applyFill="1" applyBorder="1" applyAlignment="1">
      <alignment horizontal="center" vertical="center" wrapText="1"/>
    </xf>
    <xf numFmtId="0" fontId="42" fillId="38" borderId="92" xfId="0" applyNumberFormat="1" applyFont="1" applyFill="1" applyBorder="1" applyAlignment="1">
      <alignment horizontal="center" vertical="center" wrapText="1"/>
    </xf>
    <xf numFmtId="0" fontId="41" fillId="38" borderId="91" xfId="0" applyNumberFormat="1" applyFont="1" applyFill="1" applyBorder="1" applyAlignment="1">
      <alignment horizontal="center" vertical="center" wrapText="1"/>
    </xf>
    <xf numFmtId="0" fontId="42" fillId="38" borderId="91" xfId="0" applyNumberFormat="1" applyFont="1" applyFill="1" applyBorder="1" applyAlignment="1">
      <alignment horizontal="center" vertical="center" wrapText="1"/>
    </xf>
    <xf numFmtId="0" fontId="41" fillId="38" borderId="6" xfId="0" applyNumberFormat="1" applyFont="1" applyFill="1" applyBorder="1" applyAlignment="1">
      <alignment horizontal="center" vertical="center" wrapText="1"/>
    </xf>
    <xf numFmtId="0" fontId="41" fillId="39" borderId="98" xfId="0" applyNumberFormat="1" applyFont="1" applyFill="1" applyBorder="1" applyAlignment="1">
      <alignment horizontal="center" vertical="center" wrapText="1"/>
    </xf>
    <xf numFmtId="0" fontId="41" fillId="39" borderId="60" xfId="0" applyNumberFormat="1" applyFont="1" applyFill="1" applyBorder="1" applyAlignment="1">
      <alignment horizontal="center" vertical="center" wrapText="1"/>
    </xf>
    <xf numFmtId="0" fontId="41" fillId="38" borderId="23" xfId="0" applyNumberFormat="1" applyFont="1" applyFill="1" applyBorder="1" applyAlignment="1">
      <alignment horizontal="center" vertical="center" wrapText="1"/>
    </xf>
    <xf numFmtId="0" fontId="42" fillId="38" borderId="95" xfId="0" applyNumberFormat="1" applyFont="1" applyFill="1" applyBorder="1" applyAlignment="1">
      <alignment horizontal="center" vertical="center" wrapText="1"/>
    </xf>
    <xf numFmtId="0" fontId="41" fillId="38" borderId="92" xfId="0" applyNumberFormat="1" applyFont="1" applyFill="1" applyBorder="1" applyAlignment="1">
      <alignment horizontal="center" vertical="center" wrapText="1"/>
    </xf>
    <xf numFmtId="0" fontId="41" fillId="38" borderId="95" xfId="0" applyNumberFormat="1" applyFont="1" applyFill="1" applyBorder="1" applyAlignment="1">
      <alignment horizontal="center" vertical="center" wrapText="1"/>
    </xf>
    <xf numFmtId="0" fontId="41" fillId="39" borderId="92" xfId="0" applyNumberFormat="1" applyFont="1" applyFill="1" applyBorder="1" applyAlignment="1">
      <alignment horizontal="center" vertical="center" wrapText="1"/>
    </xf>
    <xf numFmtId="0" fontId="41" fillId="39" borderId="91" xfId="0" applyNumberFormat="1" applyFont="1" applyFill="1" applyBorder="1" applyAlignment="1">
      <alignment horizontal="center" vertical="center" wrapText="1"/>
    </xf>
    <xf numFmtId="0" fontId="43" fillId="0" borderId="92" xfId="0" applyFont="1" applyFill="1" applyBorder="1" applyAlignment="1">
      <alignment horizontal="center" vertical="center" wrapText="1"/>
    </xf>
    <xf numFmtId="0" fontId="43" fillId="0" borderId="99" xfId="0" applyFont="1" applyFill="1" applyBorder="1" applyAlignment="1">
      <alignment horizontal="center" vertical="center" wrapText="1"/>
    </xf>
    <xf numFmtId="0" fontId="43" fillId="0" borderId="95" xfId="0" applyFont="1" applyFill="1" applyBorder="1" applyAlignment="1">
      <alignment horizontal="center" vertical="center" wrapText="1"/>
    </xf>
    <xf numFmtId="165" fontId="43" fillId="0" borderId="4" xfId="1" applyNumberFormat="1" applyFont="1" applyBorder="1" applyAlignment="1">
      <alignment horizontal="center" vertical="center"/>
    </xf>
    <xf numFmtId="0" fontId="46" fillId="0" borderId="92" xfId="0" applyFont="1" applyFill="1" applyBorder="1" applyAlignment="1">
      <alignment horizontal="center" vertical="center" wrapText="1"/>
    </xf>
    <xf numFmtId="0" fontId="46" fillId="0" borderId="91" xfId="0" applyFont="1" applyFill="1" applyBorder="1" applyAlignment="1">
      <alignment horizontal="center" vertical="center" wrapText="1"/>
    </xf>
    <xf numFmtId="0" fontId="43" fillId="0" borderId="6" xfId="0" applyFont="1" applyFill="1" applyBorder="1" applyAlignment="1">
      <alignment horizontal="center" vertical="center" wrapText="1"/>
    </xf>
    <xf numFmtId="0" fontId="42" fillId="38" borderId="97" xfId="0" applyNumberFormat="1" applyFont="1" applyFill="1" applyBorder="1" applyAlignment="1">
      <alignment horizontal="center" vertical="center" wrapText="1"/>
    </xf>
    <xf numFmtId="0" fontId="46" fillId="0" borderId="95" xfId="0" applyFont="1" applyFill="1" applyBorder="1" applyAlignment="1">
      <alignment horizontal="center" vertical="center" wrapText="1"/>
    </xf>
    <xf numFmtId="165" fontId="43" fillId="0" borderId="100" xfId="1" applyNumberFormat="1" applyFont="1" applyBorder="1" applyAlignment="1">
      <alignment horizontal="center" vertical="center"/>
    </xf>
    <xf numFmtId="0" fontId="47" fillId="0" borderId="0" xfId="0" applyNumberFormat="1" applyFont="1" applyFill="1" applyAlignment="1">
      <alignment horizontal="center" vertical="center"/>
    </xf>
    <xf numFmtId="0" fontId="47" fillId="0" borderId="0" xfId="0" applyNumberFormat="1" applyFont="1" applyFill="1" applyAlignment="1">
      <alignment vertical="center"/>
    </xf>
    <xf numFmtId="9" fontId="47" fillId="0" borderId="0" xfId="1" applyNumberFormat="1" applyFont="1" applyFill="1" applyAlignment="1">
      <alignment vertical="center"/>
    </xf>
    <xf numFmtId="166" fontId="47" fillId="0" borderId="0" xfId="0" applyNumberFormat="1" applyFont="1" applyFill="1" applyAlignment="1">
      <alignment vertical="center"/>
    </xf>
    <xf numFmtId="0" fontId="47" fillId="0" borderId="0" xfId="0" applyFont="1" applyFill="1" applyAlignment="1">
      <alignment horizontal="center" vertical="center"/>
    </xf>
    <xf numFmtId="0" fontId="41" fillId="38" borderId="97" xfId="0" applyFont="1" applyFill="1" applyBorder="1" applyAlignment="1">
      <alignment horizontal="center" wrapText="1"/>
    </xf>
    <xf numFmtId="0" fontId="43" fillId="0" borderId="78" xfId="0" applyFont="1" applyFill="1" applyBorder="1" applyAlignment="1">
      <alignment horizontal="center" vertical="center" wrapText="1"/>
    </xf>
    <xf numFmtId="0" fontId="41" fillId="38" borderId="67" xfId="0" applyNumberFormat="1" applyFont="1" applyFill="1" applyBorder="1" applyAlignment="1">
      <alignment horizontal="center" vertical="center" wrapText="1"/>
    </xf>
    <xf numFmtId="0" fontId="41" fillId="38" borderId="67" xfId="0" applyFont="1" applyFill="1" applyBorder="1" applyAlignment="1">
      <alignment horizontal="center" wrapText="1"/>
    </xf>
    <xf numFmtId="0" fontId="41" fillId="38" borderId="101" xfId="0" applyFont="1" applyFill="1" applyBorder="1" applyAlignment="1">
      <alignment horizontal="center" wrapText="1"/>
    </xf>
    <xf numFmtId="0" fontId="43" fillId="33" borderId="19" xfId="0" applyFont="1" applyFill="1" applyBorder="1" applyAlignment="1">
      <alignment horizontal="center" wrapText="1"/>
    </xf>
    <xf numFmtId="0" fontId="44" fillId="38" borderId="93" xfId="0" applyFont="1" applyFill="1" applyBorder="1" applyAlignment="1">
      <alignment horizontal="center" vertical="center"/>
    </xf>
    <xf numFmtId="0" fontId="41" fillId="38" borderId="55" xfId="0" applyNumberFormat="1" applyFont="1" applyFill="1" applyBorder="1" applyAlignment="1">
      <alignment horizontal="center" vertical="center" wrapText="1"/>
    </xf>
    <xf numFmtId="0" fontId="43" fillId="0" borderId="93" xfId="0" applyFont="1" applyFill="1" applyBorder="1" applyAlignment="1">
      <alignment horizontal="center" vertical="center" wrapText="1"/>
    </xf>
    <xf numFmtId="165" fontId="43" fillId="0" borderId="17" xfId="1" applyNumberFormat="1" applyFont="1" applyBorder="1" applyAlignment="1">
      <alignment horizontal="center" vertical="center"/>
    </xf>
    <xf numFmtId="0" fontId="41" fillId="38" borderId="29" xfId="0" applyFont="1" applyFill="1" applyBorder="1" applyAlignment="1">
      <alignment horizontal="center" wrapText="1"/>
    </xf>
    <xf numFmtId="165" fontId="43" fillId="0" borderId="30" xfId="1" applyNumberFormat="1" applyFont="1" applyBorder="1" applyAlignment="1">
      <alignment horizontal="center" vertical="center"/>
    </xf>
    <xf numFmtId="0" fontId="43" fillId="0" borderId="5" xfId="0" applyFont="1" applyFill="1" applyBorder="1" applyAlignment="1">
      <alignment horizontal="center" vertical="center" wrapText="1"/>
    </xf>
    <xf numFmtId="0" fontId="45" fillId="33" borderId="19" xfId="0" applyFont="1" applyFill="1" applyBorder="1" applyAlignment="1">
      <alignment horizontal="center" vertical="center"/>
    </xf>
    <xf numFmtId="0" fontId="42" fillId="38" borderId="102" xfId="0" applyNumberFormat="1" applyFont="1" applyFill="1" applyBorder="1" applyAlignment="1">
      <alignment horizontal="center" vertical="center" wrapText="1"/>
    </xf>
    <xf numFmtId="0" fontId="41" fillId="38" borderId="102" xfId="0" applyNumberFormat="1" applyFont="1" applyFill="1" applyBorder="1" applyAlignment="1">
      <alignment horizontal="center" vertical="center" wrapText="1"/>
    </xf>
    <xf numFmtId="0" fontId="41" fillId="38" borderId="18" xfId="0" applyNumberFormat="1" applyFont="1" applyFill="1" applyBorder="1" applyAlignment="1">
      <alignment horizontal="center" vertical="center" wrapText="1"/>
    </xf>
    <xf numFmtId="0" fontId="44" fillId="38" borderId="25" xfId="0" applyFont="1" applyFill="1" applyBorder="1" applyAlignment="1">
      <alignment horizontal="left" vertical="center"/>
    </xf>
    <xf numFmtId="0" fontId="41" fillId="38" borderId="22" xfId="0" applyNumberFormat="1" applyFont="1" applyFill="1" applyBorder="1" applyAlignment="1">
      <alignment horizontal="center" vertical="center" wrapText="1"/>
    </xf>
    <xf numFmtId="0" fontId="41" fillId="38" borderId="101" xfId="0" applyNumberFormat="1" applyFont="1" applyFill="1" applyBorder="1" applyAlignment="1">
      <alignment horizontal="center" vertical="center" wrapText="1"/>
    </xf>
    <xf numFmtId="0" fontId="41" fillId="38" borderId="25" xfId="0" applyFont="1" applyFill="1" applyBorder="1" applyAlignment="1">
      <alignment horizontal="center" wrapText="1"/>
    </xf>
    <xf numFmtId="0" fontId="43" fillId="0" borderId="98" xfId="0" applyFont="1" applyFill="1" applyBorder="1" applyAlignment="1">
      <alignment horizontal="center" vertical="center" wrapText="1"/>
    </xf>
    <xf numFmtId="0" fontId="43" fillId="0" borderId="73" xfId="0" applyFont="1" applyFill="1" applyBorder="1" applyAlignment="1">
      <alignment horizontal="center" vertical="center" wrapText="1"/>
    </xf>
    <xf numFmtId="0" fontId="43" fillId="0" borderId="101" xfId="0" applyFont="1" applyFill="1" applyBorder="1" applyAlignment="1">
      <alignment horizontal="center" vertical="center" wrapText="1"/>
    </xf>
    <xf numFmtId="0" fontId="41" fillId="38" borderId="28" xfId="0" applyFont="1" applyFill="1" applyBorder="1" applyAlignment="1">
      <alignment horizontal="left" vertical="center"/>
    </xf>
    <xf numFmtId="165" fontId="43" fillId="0" borderId="92" xfId="1" applyNumberFormat="1" applyFont="1" applyBorder="1" applyAlignment="1">
      <alignment horizontal="center" vertical="center"/>
    </xf>
    <xf numFmtId="165" fontId="43" fillId="0" borderId="99" xfId="1" applyNumberFormat="1" applyFont="1" applyBorder="1" applyAlignment="1">
      <alignment horizontal="center" vertical="center"/>
    </xf>
    <xf numFmtId="165" fontId="43" fillId="0" borderId="95" xfId="1" applyNumberFormat="1" applyFont="1" applyBorder="1" applyAlignment="1">
      <alignment horizontal="center" vertical="center"/>
    </xf>
    <xf numFmtId="0" fontId="39" fillId="38" borderId="26" xfId="0" applyFont="1" applyFill="1" applyBorder="1" applyAlignment="1">
      <alignment horizontal="left" vertical="center"/>
    </xf>
    <xf numFmtId="0" fontId="39" fillId="38" borderId="31" xfId="0" applyFont="1" applyFill="1" applyBorder="1" applyAlignment="1">
      <alignment horizontal="left" vertical="center"/>
    </xf>
    <xf numFmtId="0" fontId="37" fillId="38" borderId="96" xfId="0" applyFont="1" applyFill="1" applyBorder="1" applyAlignment="1">
      <alignment horizontal="left" vertical="center"/>
    </xf>
    <xf numFmtId="0" fontId="37" fillId="38" borderId="68" xfId="0" applyFont="1" applyFill="1" applyBorder="1" applyAlignment="1">
      <alignment horizontal="left" vertical="center"/>
    </xf>
    <xf numFmtId="0" fontId="39" fillId="38" borderId="87" xfId="0" applyFont="1" applyFill="1" applyBorder="1" applyAlignment="1">
      <alignment horizontal="left" vertical="center"/>
    </xf>
    <xf numFmtId="0" fontId="37" fillId="38" borderId="87" xfId="0" applyFont="1" applyFill="1" applyBorder="1" applyAlignment="1">
      <alignment horizontal="left" vertical="center"/>
    </xf>
    <xf numFmtId="0" fontId="39" fillId="38" borderId="68" xfId="0" applyFont="1" applyFill="1" applyBorder="1" applyAlignment="1">
      <alignment horizontal="left" vertical="center"/>
    </xf>
    <xf numFmtId="0" fontId="39" fillId="38" borderId="97" xfId="0" applyFont="1" applyFill="1" applyBorder="1" applyAlignment="1">
      <alignment horizontal="left" vertical="center"/>
    </xf>
    <xf numFmtId="0" fontId="37" fillId="38" borderId="56" xfId="0" applyFont="1" applyFill="1" applyBorder="1" applyAlignment="1">
      <alignment horizontal="left" vertical="center"/>
    </xf>
    <xf numFmtId="0" fontId="39" fillId="38" borderId="25" xfId="0" applyFont="1" applyFill="1" applyBorder="1" applyAlignment="1">
      <alignment horizontal="left" vertical="center"/>
    </xf>
    <xf numFmtId="0" fontId="39" fillId="38" borderId="28" xfId="0" applyFont="1" applyFill="1" applyBorder="1" applyAlignment="1">
      <alignment horizontal="left" vertical="center"/>
    </xf>
    <xf numFmtId="0" fontId="37" fillId="38" borderId="80" xfId="0" applyFont="1" applyFill="1" applyBorder="1" applyAlignment="1">
      <alignment horizontal="left" vertical="center"/>
    </xf>
    <xf numFmtId="0" fontId="37" fillId="38" borderId="83" xfId="0" applyFont="1" applyFill="1" applyBorder="1" applyAlignment="1">
      <alignment horizontal="left" vertical="center"/>
    </xf>
    <xf numFmtId="0" fontId="37" fillId="38" borderId="89" xfId="0" applyFont="1" applyFill="1" applyBorder="1" applyAlignment="1">
      <alignment horizontal="left" vertical="center"/>
    </xf>
    <xf numFmtId="0" fontId="37" fillId="38" borderId="37" xfId="0" applyFont="1" applyFill="1" applyBorder="1" applyAlignment="1">
      <alignment horizontal="left" vertical="center"/>
    </xf>
    <xf numFmtId="0" fontId="39" fillId="38" borderId="37" xfId="0" applyFont="1" applyFill="1" applyBorder="1" applyAlignment="1">
      <alignment horizontal="left" vertical="center"/>
    </xf>
    <xf numFmtId="0" fontId="37" fillId="38" borderId="86" xfId="0" applyFont="1" applyFill="1" applyBorder="1" applyAlignment="1">
      <alignment horizontal="left" vertical="center"/>
    </xf>
    <xf numFmtId="0" fontId="24" fillId="35" borderId="0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48" xfId="0" applyFont="1" applyFill="1" applyBorder="1" applyAlignment="1">
      <alignment horizontal="center" vertical="center"/>
    </xf>
    <xf numFmtId="0" fontId="16" fillId="35" borderId="41" xfId="0" applyFont="1" applyFill="1" applyBorder="1" applyAlignment="1">
      <alignment horizontal="left" vertical="center"/>
    </xf>
    <xf numFmtId="0" fontId="16" fillId="35" borderId="49" xfId="0" applyFont="1" applyFill="1" applyBorder="1" applyAlignment="1">
      <alignment horizontal="left" vertical="center"/>
    </xf>
    <xf numFmtId="0" fontId="16" fillId="35" borderId="39" xfId="0" applyFont="1" applyFill="1" applyBorder="1" applyAlignment="1">
      <alignment horizontal="left" vertical="center"/>
    </xf>
    <xf numFmtId="0" fontId="1" fillId="34" borderId="51" xfId="0" applyFont="1" applyFill="1" applyBorder="1" applyAlignment="1">
      <alignment horizontal="right" vertical="center"/>
    </xf>
    <xf numFmtId="0" fontId="1" fillId="34" borderId="52" xfId="0" applyFont="1" applyFill="1" applyBorder="1" applyAlignment="1">
      <alignment horizontal="right" vertical="center"/>
    </xf>
    <xf numFmtId="0" fontId="1" fillId="34" borderId="53" xfId="0" applyFont="1" applyFill="1" applyBorder="1" applyAlignment="1">
      <alignment horizontal="right" vertical="center"/>
    </xf>
    <xf numFmtId="0" fontId="23" fillId="35" borderId="40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38" xfId="0" applyFont="1" applyFill="1" applyBorder="1" applyAlignment="1">
      <alignment horizontal="center" vertical="center"/>
    </xf>
    <xf numFmtId="0" fontId="1" fillId="34" borderId="0" xfId="0" applyFont="1" applyFill="1" applyBorder="1" applyAlignment="1">
      <alignment horizontal="right" vertical="center"/>
    </xf>
    <xf numFmtId="0" fontId="16" fillId="35" borderId="47" xfId="0" applyFont="1" applyFill="1" applyBorder="1" applyAlignment="1">
      <alignment vertical="center"/>
    </xf>
    <xf numFmtId="0" fontId="32" fillId="36" borderId="1" xfId="0" applyFont="1" applyFill="1" applyBorder="1" applyAlignment="1">
      <alignment horizontal="center" vertical="center" wrapText="1"/>
    </xf>
    <xf numFmtId="0" fontId="32" fillId="36" borderId="1" xfId="0" applyFont="1" applyFill="1" applyBorder="1" applyAlignment="1">
      <alignment horizontal="center" vertical="center"/>
    </xf>
    <xf numFmtId="0" fontId="32" fillId="36" borderId="75" xfId="0" applyFont="1" applyFill="1" applyBorder="1" applyAlignment="1">
      <alignment horizontal="center" vertical="center"/>
    </xf>
    <xf numFmtId="0" fontId="32" fillId="36" borderId="2" xfId="0" applyFont="1" applyFill="1" applyBorder="1" applyAlignment="1">
      <alignment horizontal="center" vertical="center" wrapText="1"/>
    </xf>
    <xf numFmtId="0" fontId="32" fillId="36" borderId="19" xfId="0" applyFont="1" applyFill="1" applyBorder="1" applyAlignment="1">
      <alignment horizontal="center" vertical="center" wrapText="1"/>
    </xf>
    <xf numFmtId="0" fontId="32" fillId="36" borderId="0" xfId="0" applyFont="1" applyFill="1" applyBorder="1" applyAlignment="1">
      <alignment horizontal="center" vertical="center"/>
    </xf>
    <xf numFmtId="0" fontId="32" fillId="36" borderId="55" xfId="0" applyFont="1" applyFill="1" applyBorder="1" applyAlignment="1">
      <alignment horizontal="center" vertical="center"/>
    </xf>
    <xf numFmtId="0" fontId="16" fillId="36" borderId="0" xfId="0" applyFont="1" applyFill="1" applyAlignment="1">
      <alignment horizontal="center"/>
    </xf>
    <xf numFmtId="0" fontId="1" fillId="37" borderId="88" xfId="0" applyFont="1" applyFill="1" applyBorder="1" applyAlignment="1">
      <alignment horizontal="center" vertical="center"/>
    </xf>
    <xf numFmtId="0" fontId="1" fillId="37" borderId="87" xfId="0" applyFont="1" applyFill="1" applyBorder="1" applyAlignment="1">
      <alignment horizontal="center" vertical="center"/>
    </xf>
    <xf numFmtId="0" fontId="1" fillId="37" borderId="72" xfId="0" applyFont="1" applyFill="1" applyBorder="1" applyAlignment="1">
      <alignment horizontal="center" vertical="center"/>
    </xf>
    <xf numFmtId="0" fontId="1" fillId="37" borderId="76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1" fillId="37" borderId="66" xfId="0" applyFont="1" applyFill="1" applyBorder="1" applyAlignment="1">
      <alignment horizontal="center" vertical="center"/>
    </xf>
    <xf numFmtId="0" fontId="1" fillId="37" borderId="71" xfId="0" applyFont="1" applyFill="1" applyBorder="1" applyAlignment="1">
      <alignment horizontal="center" vertical="center"/>
    </xf>
    <xf numFmtId="0" fontId="1" fillId="37" borderId="74" xfId="0" applyFont="1" applyFill="1" applyBorder="1" applyAlignment="1">
      <alignment horizontal="center" vertical="center"/>
    </xf>
    <xf numFmtId="0" fontId="1" fillId="37" borderId="70" xfId="0" applyFont="1" applyFill="1" applyBorder="1" applyAlignment="1">
      <alignment horizontal="center" vertical="center"/>
    </xf>
    <xf numFmtId="0" fontId="1" fillId="39" borderId="57" xfId="0" applyNumberFormat="1" applyFont="1" applyFill="1" applyBorder="1" applyAlignment="1">
      <alignment horizontal="center" vertical="center" wrapText="1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5000000}"/>
    <cellStyle name="Normal 3" xfId="44" xr:uid="{00000000-0005-0000-0000-000026000000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0"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>
        <bottom style="thin">
          <color theme="0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>
        <bottom style="thin">
          <color theme="0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8CFE3"/>
      <color rgb="FFDBD3E5"/>
      <color rgb="FF006478"/>
      <color rgb="FF006464"/>
      <color rgb="FFD6ECF2"/>
      <color rgb="FFCB716F"/>
      <color rgb="FFBF504D"/>
      <color rgb="FFDCDCDC"/>
      <color rgb="FF007D7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33952044048591E-2"/>
          <c:y val="0.15686810380357119"/>
          <c:w val="0.94363635706743765"/>
          <c:h val="0.7497375673254294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'EB210 Graph'!$D$22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'EB210 Graph'!$A$23:$A$24</c:f>
              <c:numCache>
                <c:formatCode>General</c:formatCode>
                <c:ptCount val="2"/>
                <c:pt idx="0">
                  <c:v>1511627</c:v>
                </c:pt>
                <c:pt idx="1">
                  <c:v>1517597</c:v>
                </c:pt>
              </c:numCache>
            </c:numRef>
          </c:cat>
          <c:val>
            <c:numRef>
              <c:f>'EB210 Graph'!$D$23:$D$24</c:f>
              <c:numCache>
                <c:formatCode>0%</c:formatCode>
                <c:ptCount val="2"/>
                <c:pt idx="0">
                  <c:v>0.88666666666666671</c:v>
                </c:pt>
                <c:pt idx="1">
                  <c:v>0.91799544419134393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7-4B14-97B3-9AAA2F83F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462224"/>
        <c:axId val="237462784"/>
      </c:barChart>
      <c:catAx>
        <c:axId val="23746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462784"/>
        <c:crosses val="autoZero"/>
        <c:auto val="1"/>
        <c:lblAlgn val="ctr"/>
        <c:lblOffset val="100"/>
        <c:noMultiLvlLbl val="0"/>
      </c:catAx>
      <c:valAx>
        <c:axId val="23746278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746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1-4B84-4F04-9568-09B2AB287D1E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84-4F04-9568-09B2AB287D1E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5-4B84-4F04-9568-09B2AB287D1E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7-4B84-4F04-9568-09B2AB287D1E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4B84-4F04-9568-09B2AB287D1E}"/>
              </c:ext>
            </c:extLst>
          </c:dPt>
          <c:dLbls>
            <c:dLbl>
              <c:idx val="0"/>
              <c:layout>
                <c:manualLayout>
                  <c:x val="5.78260710073197E-2"/>
                  <c:y val="-0.122730356593635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84-4F04-9568-09B2AB287D1E}"/>
                </c:ext>
              </c:extLst>
            </c:dLbl>
            <c:dLbl>
              <c:idx val="1"/>
              <c:layout>
                <c:manualLayout>
                  <c:x val="-1.1572833012590791E-2"/>
                  <c:y val="3.44652904673167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84-4F04-9568-09B2AB287D1E}"/>
                </c:ext>
              </c:extLst>
            </c:dLbl>
            <c:dLbl>
              <c:idx val="2"/>
              <c:layout>
                <c:manualLayout>
                  <c:x val="-6.6654156766915204E-2"/>
                  <c:y val="0.1897752971613626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84-4F04-9568-09B2AB287D1E}"/>
                </c:ext>
              </c:extLst>
            </c:dLbl>
            <c:dLbl>
              <c:idx val="3"/>
              <c:layout>
                <c:manualLayout>
                  <c:x val="-0.11435144164837212"/>
                  <c:y val="0.193281982161272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84-4F04-9568-09B2AB287D1E}"/>
                </c:ext>
              </c:extLst>
            </c:dLbl>
            <c:dLbl>
              <c:idx val="4"/>
              <c:layout>
                <c:manualLayout>
                  <c:x val="-0.1668645206074732"/>
                  <c:y val="5.12913176415248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84-4F04-9568-09B2AB287D1E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'EB214 Graphs'!$O$5:$O$9</c:f>
              <c:strCache>
                <c:ptCount val="5"/>
                <c:pt idx="0">
                  <c:v>0.003 Jaw Gap Fail</c:v>
                </c:pt>
                <c:pt idx="1">
                  <c:v>Damaged Harness</c:v>
                </c:pt>
                <c:pt idx="2">
                  <c:v>Stuck Blade</c:v>
                </c:pt>
                <c:pt idx="3">
                  <c:v>Insulation Damage</c:v>
                </c:pt>
                <c:pt idx="4">
                  <c:v>Blade Pusher Coming Out</c:v>
                </c:pt>
              </c:strCache>
            </c:strRef>
          </c:cat>
          <c:val>
            <c:numRef>
              <c:f>'EB214 Graphs'!$R$5:$R$9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84-4F04-9568-09B2AB287D1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'EB215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'EB215 Graphs'!$A$23:$A$30</c:f>
              <c:numCache>
                <c:formatCode>General</c:formatCode>
                <c:ptCount val="8"/>
                <c:pt idx="0">
                  <c:v>1512004</c:v>
                </c:pt>
                <c:pt idx="1">
                  <c:v>1514313</c:v>
                </c:pt>
                <c:pt idx="2">
                  <c:v>1514188</c:v>
                </c:pt>
                <c:pt idx="3">
                  <c:v>1514189</c:v>
                </c:pt>
                <c:pt idx="4">
                  <c:v>1514190</c:v>
                </c:pt>
                <c:pt idx="5">
                  <c:v>1515307</c:v>
                </c:pt>
                <c:pt idx="6">
                  <c:v>1515308</c:v>
                </c:pt>
                <c:pt idx="7">
                  <c:v>1517977</c:v>
                </c:pt>
              </c:numCache>
            </c:numRef>
          </c:cat>
          <c:val>
            <c:numRef>
              <c:f>'EB215 Graphs'!$D$23:$D$30</c:f>
              <c:numCache>
                <c:formatCode>0%</c:formatCode>
                <c:ptCount val="8"/>
                <c:pt idx="0">
                  <c:v>0.85437788018433181</c:v>
                </c:pt>
                <c:pt idx="1">
                  <c:v>0.8802850356294537</c:v>
                </c:pt>
                <c:pt idx="2">
                  <c:v>0.86473880597014929</c:v>
                </c:pt>
                <c:pt idx="3">
                  <c:v>0.83994528043775651</c:v>
                </c:pt>
                <c:pt idx="4">
                  <c:v>0.88158530691155146</c:v>
                </c:pt>
                <c:pt idx="5">
                  <c:v>0.8367254635911352</c:v>
                </c:pt>
                <c:pt idx="6">
                  <c:v>0.87581699346405228</c:v>
                </c:pt>
                <c:pt idx="7">
                  <c:v>0.84783620288506278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7-4528-AD28-7FF01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0D7B-4182-A250-65DCF45FEA83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D7B-4182-A250-65DCF45FEA83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0D7B-4182-A250-65DCF45FEA83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0D7B-4182-A250-65DCF45FEA83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0D7B-4182-A250-65DCF45FEA83}"/>
              </c:ext>
            </c:extLst>
          </c:dPt>
          <c:dLbls>
            <c:dLbl>
              <c:idx val="0"/>
              <c:layout>
                <c:manualLayout>
                  <c:x val="3.6324092938208617E-2"/>
                  <c:y val="2.08750203535179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7B-4182-A250-65DCF45FEA83}"/>
                </c:ext>
              </c:extLst>
            </c:dLbl>
            <c:dLbl>
              <c:idx val="1"/>
              <c:layout>
                <c:manualLayout>
                  <c:x val="-4.7409463127775962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7B-4182-A250-65DCF45FEA83}"/>
                </c:ext>
              </c:extLst>
            </c:dLbl>
            <c:dLbl>
              <c:idx val="2"/>
              <c:layout>
                <c:manualLayout>
                  <c:x val="-4.6944010203563348E-2"/>
                  <c:y val="-4.34122446764243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7B-4182-A250-65DCF45FEA83}"/>
                </c:ext>
              </c:extLst>
            </c:dLbl>
            <c:dLbl>
              <c:idx val="3"/>
              <c:layout>
                <c:manualLayout>
                  <c:x val="-0.10539228411957582"/>
                  <c:y val="0.16456090677184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7B-4182-A250-65DCF45FEA83}"/>
                </c:ext>
              </c:extLst>
            </c:dLbl>
            <c:dLbl>
              <c:idx val="4"/>
              <c:layout>
                <c:manualLayout>
                  <c:x val="-6.8313787790714078E-2"/>
                  <c:y val="4.55471025636386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7B-4182-A250-65DCF45FEA8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'EB215 Graphs'!$O$5:$O$9</c:f>
              <c:strCache>
                <c:ptCount val="5"/>
                <c:pt idx="0">
                  <c:v>0.003 Jaw Gap Fail</c:v>
                </c:pt>
                <c:pt idx="1">
                  <c:v>Front Stops Not Touching</c:v>
                </c:pt>
                <c:pt idx="2">
                  <c:v>Incorrect Insulation Orientation</c:v>
                </c:pt>
                <c:pt idx="3">
                  <c:v>Rough Actuation of Jaw</c:v>
                </c:pt>
                <c:pt idx="4">
                  <c:v>Insulation Damage</c:v>
                </c:pt>
              </c:strCache>
            </c:strRef>
          </c:cat>
          <c:val>
            <c:numRef>
              <c:f>'EB215 Graphs'!$R$5:$R$9</c:f>
              <c:numCache>
                <c:formatCode>General</c:formatCode>
                <c:ptCount val="5"/>
                <c:pt idx="0">
                  <c:v>330</c:v>
                </c:pt>
                <c:pt idx="1">
                  <c:v>88</c:v>
                </c:pt>
                <c:pt idx="2">
                  <c:v>71</c:v>
                </c:pt>
                <c:pt idx="3">
                  <c:v>58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B-4182-A250-65DCF45FEA8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'EB216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'EB216 Graphs'!$A$23</c:f>
              <c:numCache>
                <c:formatCode>General</c:formatCode>
                <c:ptCount val="1"/>
              </c:numCache>
            </c:numRef>
          </c:cat>
          <c:val>
            <c:numRef>
              <c:f>'EB216 Graphs'!$D$23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0-4986-AF52-543D31C4A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6064"/>
        <c:axId val="261306624"/>
      </c:barChart>
      <c:catAx>
        <c:axId val="26130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6624"/>
        <c:crosses val="autoZero"/>
        <c:auto val="1"/>
        <c:lblAlgn val="ctr"/>
        <c:lblOffset val="100"/>
        <c:noMultiLvlLbl val="0"/>
      </c:catAx>
      <c:valAx>
        <c:axId val="26130662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E0D7-4E6C-8D98-3CD80FE4F3FB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0D7-4E6C-8D98-3CD80FE4F3FB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E0D7-4E6C-8D98-3CD80FE4F3FB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E0D7-4E6C-8D98-3CD80FE4F3FB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E0D7-4E6C-8D98-3CD80FE4F3FB}"/>
              </c:ext>
            </c:extLst>
          </c:dPt>
          <c:dLbls>
            <c:dLbl>
              <c:idx val="0"/>
              <c:layout>
                <c:manualLayout>
                  <c:x val="5.9617902513078962E-2"/>
                  <c:y val="1.500487260235008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D7-4E6C-8D98-3CD80FE4F3FB}"/>
                </c:ext>
              </c:extLst>
            </c:dLbl>
            <c:dLbl>
              <c:idx val="1"/>
              <c:layout>
                <c:manualLayout>
                  <c:x val="-9.3682876863081535E-2"/>
                  <c:y val="-3.93258600928336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D7-4E6C-8D98-3CD80FE4F3FB}"/>
                </c:ext>
              </c:extLst>
            </c:dLbl>
            <c:dLbl>
              <c:idx val="2"/>
              <c:layout>
                <c:manualLayout>
                  <c:x val="-5.7827764076459003E-2"/>
                  <c:y val="5.57237263220942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D7-4E6C-8D98-3CD80FE4F3FB}"/>
                </c:ext>
              </c:extLst>
            </c:dLbl>
            <c:dLbl>
              <c:idx val="3"/>
              <c:layout>
                <c:manualLayout>
                  <c:x val="-5.0567883607140235E-2"/>
                  <c:y val="0.196989382017774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D7-4E6C-8D98-3CD80FE4F3FB}"/>
                </c:ext>
              </c:extLst>
            </c:dLbl>
            <c:dLbl>
              <c:idx val="4"/>
              <c:layout>
                <c:manualLayout>
                  <c:x val="-9.6393198376911057E-2"/>
                  <c:y val="5.45886289430367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D7-4E6C-8D98-3CD80FE4F3FB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'EB216 Graphs'!$O$5:$O$9</c:f>
              <c:strCache>
                <c:ptCount val="5"/>
                <c:pt idx="0">
                  <c:v>0.003 Jaw Gap Fail</c:v>
                </c:pt>
                <c:pt idx="1">
                  <c:v>Insulation Damage</c:v>
                </c:pt>
                <c:pt idx="2">
                  <c:v>High Jaw Force</c:v>
                </c:pt>
                <c:pt idx="3">
                  <c:v>Front Stops Not Touching</c:v>
                </c:pt>
                <c:pt idx="4">
                  <c:v>Stuck Blade</c:v>
                </c:pt>
              </c:strCache>
            </c:strRef>
          </c:cat>
          <c:val>
            <c:numRef>
              <c:f>'EB216 Graphs'!$R$5:$R$9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7-4E6C-8D98-3CD80FE4F3F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'EB217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'EB217 Graphs'!$A$23:$A$25</c:f>
              <c:numCache>
                <c:formatCode>General</c:formatCode>
                <c:ptCount val="3"/>
                <c:pt idx="0">
                  <c:v>1512027</c:v>
                </c:pt>
                <c:pt idx="1">
                  <c:v>1514191</c:v>
                </c:pt>
                <c:pt idx="2">
                  <c:v>1518004</c:v>
                </c:pt>
              </c:numCache>
            </c:numRef>
          </c:cat>
          <c:val>
            <c:numRef>
              <c:f>'EB217 Graphs'!$D$23:$D$25</c:f>
              <c:numCache>
                <c:formatCode>0%</c:formatCode>
                <c:ptCount val="3"/>
                <c:pt idx="0">
                  <c:v>0.87440758293838861</c:v>
                </c:pt>
                <c:pt idx="1">
                  <c:v>0.89666395443449964</c:v>
                </c:pt>
                <c:pt idx="2">
                  <c:v>0.9239669421487603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C-42FD-B52D-B5F9388C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503312"/>
        <c:axId val="278503872"/>
      </c:barChart>
      <c:catAx>
        <c:axId val="27850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503872"/>
        <c:crosses val="autoZero"/>
        <c:auto val="1"/>
        <c:lblAlgn val="ctr"/>
        <c:lblOffset val="100"/>
        <c:noMultiLvlLbl val="0"/>
      </c:catAx>
      <c:valAx>
        <c:axId val="278503872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8503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DAE0-4A4E-A63D-92144827A623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AE0-4A4E-A63D-92144827A623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DAE0-4A4E-A63D-92144827A623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DAE0-4A4E-A63D-92144827A623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DAE0-4A4E-A63D-92144827A623}"/>
              </c:ext>
            </c:extLst>
          </c:dPt>
          <c:dLbls>
            <c:dLbl>
              <c:idx val="0"/>
              <c:layout>
                <c:manualLayout>
                  <c:x val="4.2120879492982231E-2"/>
                  <c:y val="9.409240867300362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E0-4A4E-A63D-92144827A623}"/>
                </c:ext>
              </c:extLst>
            </c:dLbl>
            <c:dLbl>
              <c:idx val="1"/>
              <c:layout>
                <c:manualLayout>
                  <c:x val="9.0331305412742036E-2"/>
                  <c:y val="-7.84507866919579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E0-4A4E-A63D-92144827A623}"/>
                </c:ext>
              </c:extLst>
            </c:dLbl>
            <c:dLbl>
              <c:idx val="2"/>
              <c:layout>
                <c:manualLayout>
                  <c:x val="-5.2537064105241178E-2"/>
                  <c:y val="3.9307462222945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E0-4A4E-A63D-92144827A623}"/>
                </c:ext>
              </c:extLst>
            </c:dLbl>
            <c:dLbl>
              <c:idx val="3"/>
              <c:layout>
                <c:manualLayout>
                  <c:x val="-6.0882766249231099E-2"/>
                  <c:y val="0.1676711279484678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E0-4A4E-A63D-92144827A623}"/>
                </c:ext>
              </c:extLst>
            </c:dLbl>
            <c:dLbl>
              <c:idx val="4"/>
              <c:layout>
                <c:manualLayout>
                  <c:x val="-0.10077570784398933"/>
                  <c:y val="7.7431102957171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E0-4A4E-A63D-92144827A62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'EB217 Graphs'!$O$5:$O$9</c:f>
              <c:strCache>
                <c:ptCount val="5"/>
                <c:pt idx="0">
                  <c:v>Stuck Blade</c:v>
                </c:pt>
                <c:pt idx="1">
                  <c:v>Rough Actuation of Jaw</c:v>
                </c:pt>
                <c:pt idx="2">
                  <c:v>Insulation Damage</c:v>
                </c:pt>
                <c:pt idx="3">
                  <c:v>0.003 Jaw Gap Fail</c:v>
                </c:pt>
                <c:pt idx="4">
                  <c:v>Low Jaw Force</c:v>
                </c:pt>
              </c:strCache>
            </c:strRef>
          </c:cat>
          <c:val>
            <c:numRef>
              <c:f>'EB217 Graphs'!$R$5:$R$9</c:f>
              <c:numCache>
                <c:formatCode>General</c:formatCode>
                <c:ptCount val="5"/>
                <c:pt idx="0">
                  <c:v>91</c:v>
                </c:pt>
                <c:pt idx="1">
                  <c:v>62</c:v>
                </c:pt>
                <c:pt idx="2">
                  <c:v>51</c:v>
                </c:pt>
                <c:pt idx="3">
                  <c:v>46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E0-4A4E-A63D-92144827A6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layout>
        <c:manualLayout>
          <c:xMode val="edge"/>
          <c:yMode val="edge"/>
          <c:x val="0.31019733890691598"/>
          <c:y val="2.8198211966921499E-2"/>
        </c:manualLayout>
      </c:layout>
      <c:overlay val="0"/>
    </c:title>
    <c:autoTitleDeleted val="0"/>
    <c:plotArea>
      <c:layout/>
      <c:pieChart>
        <c:varyColors val="1"/>
        <c:ser>
          <c:idx val="1"/>
          <c:order val="0"/>
          <c:tx>
            <c:v>Names</c:v>
          </c:tx>
          <c:dPt>
            <c:idx val="1"/>
            <c:bubble3D val="0"/>
            <c:spPr>
              <a:solidFill>
                <a:srgbClr val="CB716F"/>
              </a:solidFill>
            </c:spPr>
            <c:extLst>
              <c:ext xmlns:c16="http://schemas.microsoft.com/office/drawing/2014/chart" uri="{C3380CC4-5D6E-409C-BE32-E72D297353CC}">
                <c16:uniqueId val="{00000001-7CD8-40E0-9810-D1B491C63AB7}"/>
              </c:ext>
            </c:extLst>
          </c:dPt>
          <c:dLbls>
            <c:dLbl>
              <c:idx val="0"/>
              <c:layout>
                <c:manualLayout>
                  <c:x val="5.0862834008097088E-2"/>
                  <c:y val="-0.121968869918259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D8-40E0-9810-D1B491C63AB7}"/>
                </c:ext>
              </c:extLst>
            </c:dLbl>
            <c:dLbl>
              <c:idx val="1"/>
              <c:layout>
                <c:manualLayout>
                  <c:x val="-4.0609068825910928E-2"/>
                  <c:y val="0.224484320999369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D8-40E0-9810-D1B491C63AB7}"/>
                </c:ext>
              </c:extLst>
            </c:dLbl>
            <c:dLbl>
              <c:idx val="2"/>
              <c:layout>
                <c:manualLayout>
                  <c:x val="-7.4163076923076957E-2"/>
                  <c:y val="0.2210526689198476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D8-40E0-9810-D1B491C63AB7}"/>
                </c:ext>
              </c:extLst>
            </c:dLbl>
            <c:dLbl>
              <c:idx val="3"/>
              <c:layout>
                <c:manualLayout>
                  <c:x val="-3.7158380566801617E-2"/>
                  <c:y val="6.114185019213527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D8-40E0-9810-D1B491C63AB7}"/>
                </c:ext>
              </c:extLst>
            </c:dLbl>
            <c:dLbl>
              <c:idx val="4"/>
              <c:layout>
                <c:manualLayout>
                  <c:x val="0.16334655870445344"/>
                  <c:y val="4.01581779208950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D8-40E0-9810-D1B491C63AB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'EB230 Graphs'!$O$5:$O$9</c:f>
              <c:strCache>
                <c:ptCount val="5"/>
                <c:pt idx="0">
                  <c:v>Stuck Blade</c:v>
                </c:pt>
                <c:pt idx="1">
                  <c:v>Front Stop not Touching</c:v>
                </c:pt>
                <c:pt idx="2">
                  <c:v>Continuity Fail</c:v>
                </c:pt>
                <c:pt idx="3">
                  <c:v>Exposed Wire</c:v>
                </c:pt>
                <c:pt idx="4">
                  <c:v>Damaged Harness</c:v>
                </c:pt>
              </c:strCache>
            </c:strRef>
          </c:cat>
          <c:val>
            <c:numRef>
              <c:f>'EB230 Graphs'!$R$5:$R$9</c:f>
              <c:numCache>
                <c:formatCode>General</c:formatCode>
                <c:ptCount val="5"/>
                <c:pt idx="0">
                  <c:v>114</c:v>
                </c:pt>
                <c:pt idx="1">
                  <c:v>88</c:v>
                </c:pt>
                <c:pt idx="2">
                  <c:v>22</c:v>
                </c:pt>
                <c:pt idx="3">
                  <c:v>21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D8-40E0-9810-D1B491C63AB7}"/>
            </c:ext>
          </c:extLst>
        </c:ser>
        <c:ser>
          <c:idx val="0"/>
          <c:order val="1"/>
          <c:tx>
            <c:v>Names</c:v>
          </c:tx>
          <c:explosion val="4"/>
          <c:dPt>
            <c:idx val="1"/>
            <c:bubble3D val="0"/>
            <c:spPr>
              <a:solidFill>
                <a:srgbClr val="CB716F"/>
              </a:solidFill>
            </c:spPr>
            <c:extLst>
              <c:ext xmlns:c16="http://schemas.microsoft.com/office/drawing/2014/chart" uri="{C3380CC4-5D6E-409C-BE32-E72D297353CC}">
                <c16:uniqueId val="{00000008-7CD8-40E0-9810-D1B491C63AB7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7CD8-40E0-9810-D1B491C63AB7}"/>
              </c:ext>
            </c:extLst>
          </c:dPt>
          <c:dLbls>
            <c:dLbl>
              <c:idx val="0"/>
              <c:layout>
                <c:manualLayout>
                  <c:x val="8.1977107085985709E-3"/>
                  <c:y val="0.146600419733606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D8-40E0-9810-D1B491C63AB7}"/>
                </c:ext>
              </c:extLst>
            </c:dLbl>
            <c:dLbl>
              <c:idx val="1"/>
              <c:layout>
                <c:manualLayout>
                  <c:x val="-4.098855354299244E-2"/>
                  <c:y val="-5.638921656682417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D8-40E0-9810-D1B491C63AB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D8-40E0-9810-D1B491C63AB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D8-40E0-9810-D1B491C63AB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D8-40E0-9810-D1B491C63AB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'EB230 Graphs'!$O$5:$O$9</c:f>
              <c:strCache>
                <c:ptCount val="5"/>
                <c:pt idx="0">
                  <c:v>Stuck Blade</c:v>
                </c:pt>
                <c:pt idx="1">
                  <c:v>Front Stop not Touching</c:v>
                </c:pt>
                <c:pt idx="2">
                  <c:v>Continuity Fail</c:v>
                </c:pt>
                <c:pt idx="3">
                  <c:v>Exposed Wire</c:v>
                </c:pt>
                <c:pt idx="4">
                  <c:v>Damaged Harness</c:v>
                </c:pt>
              </c:strCache>
            </c:strRef>
          </c:cat>
          <c:val>
            <c:numRef>
              <c:f>'EB230 Graphs'!$R$5:$R$9</c:f>
              <c:numCache>
                <c:formatCode>General</c:formatCode>
                <c:ptCount val="5"/>
                <c:pt idx="0">
                  <c:v>114</c:v>
                </c:pt>
                <c:pt idx="1">
                  <c:v>88</c:v>
                </c:pt>
                <c:pt idx="2">
                  <c:v>22</c:v>
                </c:pt>
                <c:pt idx="3">
                  <c:v>21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CD8-40E0-9810-D1B491C63AB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Yield %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835885748205071E-2"/>
          <c:y val="0.16432414819511593"/>
          <c:w val="0.93743003147925419"/>
          <c:h val="0.74973771425384328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accent6"/>
              </a:solidFill>
            </a:ln>
          </c:spPr>
          <c:invertIfNegative val="0"/>
          <c:dLbls>
            <c:dLbl>
              <c:idx val="0"/>
              <c:layout>
                <c:manualLayout>
                  <c:x val="2.9239766081872154E-3"/>
                  <c:y val="-2.5166513512244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F2-4A63-A8C6-3905D3333078}"/>
                </c:ext>
              </c:extLst>
            </c:dLbl>
            <c:dLbl>
              <c:idx val="1"/>
              <c:layout>
                <c:manualLayout>
                  <c:x val="2.9239766081872154E-3"/>
                  <c:y val="-3.62776213830208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F2-4A63-A8C6-3905D3333078}"/>
                </c:ext>
              </c:extLst>
            </c:dLbl>
            <c:dLbl>
              <c:idx val="2"/>
              <c:layout>
                <c:manualLayout>
                  <c:x val="-5.8479532163742704E-3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F2-4A63-A8C6-3905D3333078}"/>
                </c:ext>
              </c:extLst>
            </c:dLbl>
            <c:dLbl>
              <c:idx val="3"/>
              <c:layout>
                <c:manualLayout>
                  <c:x val="0"/>
                  <c:y val="-1.03517030178761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F2-4A63-A8C6-3905D3333078}"/>
                </c:ext>
              </c:extLst>
            </c:dLbl>
            <c:dLbl>
              <c:idx val="4"/>
              <c:layout>
                <c:manualLayout>
                  <c:x val="-1.4619883040935741E-3"/>
                  <c:y val="-3.99813240066132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F2-4A63-A8C6-3905D3333078}"/>
                </c:ext>
              </c:extLst>
            </c:dLbl>
            <c:dLbl>
              <c:idx val="5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F2-4A63-A8C6-3905D3333078}"/>
                </c:ext>
              </c:extLst>
            </c:dLbl>
            <c:dLbl>
              <c:idx val="6"/>
              <c:layout>
                <c:manualLayout>
                  <c:x val="0"/>
                  <c:y val="7.5940485290030993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F2-4A63-A8C6-3905D3333078}"/>
                </c:ext>
              </c:extLst>
            </c:dLbl>
            <c:dLbl>
              <c:idx val="7"/>
              <c:layout>
                <c:manualLayout>
                  <c:x val="0"/>
                  <c:y val="-2.944297770691892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F2-4A63-A8C6-3905D3333078}"/>
                </c:ext>
              </c:extLst>
            </c:dLbl>
            <c:dLbl>
              <c:idx val="8"/>
              <c:layout>
                <c:manualLayout>
                  <c:x val="0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1F2-4A63-A8C6-3905D3333078}"/>
                </c:ext>
              </c:extLst>
            </c:dLbl>
            <c:dLbl>
              <c:idx val="9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F2-4A63-A8C6-3905D3333078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'EB230 Graphs'!$A$23:$A$29</c:f>
              <c:numCache>
                <c:formatCode>General</c:formatCode>
                <c:ptCount val="7"/>
                <c:pt idx="0">
                  <c:v>1514356</c:v>
                </c:pt>
                <c:pt idx="1">
                  <c:v>1516802</c:v>
                </c:pt>
                <c:pt idx="2">
                  <c:v>1516803</c:v>
                </c:pt>
                <c:pt idx="3">
                  <c:v>1516804</c:v>
                </c:pt>
                <c:pt idx="4">
                  <c:v>1512561</c:v>
                </c:pt>
                <c:pt idx="5">
                  <c:v>1517632</c:v>
                </c:pt>
                <c:pt idx="6">
                  <c:v>1519770</c:v>
                </c:pt>
              </c:numCache>
            </c:numRef>
          </c:cat>
          <c:val>
            <c:numRef>
              <c:f>'EB230 Graphs'!$D$23:$D$29</c:f>
              <c:numCache>
                <c:formatCode>0%</c:formatCode>
                <c:ptCount val="7"/>
                <c:pt idx="0">
                  <c:v>0.92443324937027704</c:v>
                </c:pt>
                <c:pt idx="1">
                  <c:v>0.88522167487684733</c:v>
                </c:pt>
                <c:pt idx="2">
                  <c:v>0.90457452041318254</c:v>
                </c:pt>
                <c:pt idx="3">
                  <c:v>0.94258130081300817</c:v>
                </c:pt>
                <c:pt idx="4">
                  <c:v>0.92766174223127862</c:v>
                </c:pt>
                <c:pt idx="5">
                  <c:v>0.92813765182186236</c:v>
                </c:pt>
                <c:pt idx="6">
                  <c:v>0.91895947973986991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F2-4A63-A8C6-3905D3333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48713808"/>
        <c:axId val="248714368"/>
      </c:barChart>
      <c:catAx>
        <c:axId val="2487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8714368"/>
        <c:crosses val="autoZero"/>
        <c:auto val="1"/>
        <c:lblAlgn val="ctr"/>
        <c:lblOffset val="100"/>
        <c:noMultiLvlLbl val="0"/>
      </c:catAx>
      <c:valAx>
        <c:axId val="24871436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48713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layout>
        <c:manualLayout>
          <c:xMode val="edge"/>
          <c:yMode val="edge"/>
          <c:x val="0.32345168181533657"/>
          <c:y val="2.22222319432335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explosion val="1"/>
            <c:extLst>
              <c:ext xmlns:c16="http://schemas.microsoft.com/office/drawing/2014/chart" uri="{C3380CC4-5D6E-409C-BE32-E72D297353CC}">
                <c16:uniqueId val="{00000000-07C9-4C0B-A114-B07B9D4CA811}"/>
              </c:ext>
            </c:extLst>
          </c:dPt>
          <c:dPt>
            <c:idx val="1"/>
            <c:bubble3D val="0"/>
            <c:spPr>
              <a:solidFill>
                <a:srgbClr val="CB716F"/>
              </a:solidFill>
            </c:spPr>
            <c:extLst>
              <c:ext xmlns:c16="http://schemas.microsoft.com/office/drawing/2014/chart" uri="{C3380CC4-5D6E-409C-BE32-E72D297353CC}">
                <c16:uniqueId val="{00000002-07C9-4C0B-A114-B07B9D4CA811}"/>
              </c:ext>
            </c:extLst>
          </c:dPt>
          <c:dPt>
            <c:idx val="2"/>
            <c:bubble3D val="0"/>
            <c:explosion val="2"/>
            <c:extLst>
              <c:ext xmlns:c16="http://schemas.microsoft.com/office/drawing/2014/chart" uri="{C3380CC4-5D6E-409C-BE32-E72D297353CC}">
                <c16:uniqueId val="{00000003-07C9-4C0B-A114-B07B9D4CA811}"/>
              </c:ext>
            </c:extLst>
          </c:dPt>
          <c:dPt>
            <c:idx val="3"/>
            <c:bubble3D val="0"/>
            <c:explosion val="1"/>
            <c:extLst>
              <c:ext xmlns:c16="http://schemas.microsoft.com/office/drawing/2014/chart" uri="{C3380CC4-5D6E-409C-BE32-E72D297353CC}">
                <c16:uniqueId val="{00000004-07C9-4C0B-A114-B07B9D4CA811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07C9-4C0B-A114-B07B9D4CA811}"/>
              </c:ext>
            </c:extLst>
          </c:dPt>
          <c:dLbls>
            <c:dLbl>
              <c:idx val="0"/>
              <c:layout>
                <c:manualLayout>
                  <c:x val="9.0536573517649183E-2"/>
                  <c:y val="-0.1546548792927575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C9-4C0B-A114-B07B9D4CA811}"/>
                </c:ext>
              </c:extLst>
            </c:dLbl>
            <c:dLbl>
              <c:idx val="1"/>
              <c:layout>
                <c:manualLayout>
                  <c:x val="-3.9436795757123444E-2"/>
                  <c:y val="0.237406631494663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C9-4C0B-A114-B07B9D4CA811}"/>
                </c:ext>
              </c:extLst>
            </c:dLbl>
            <c:dLbl>
              <c:idx val="2"/>
              <c:layout>
                <c:manualLayout>
                  <c:x val="-6.3393334877423629E-2"/>
                  <c:y val="0.200628708690263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C9-4C0B-A114-B07B9D4CA811}"/>
                </c:ext>
              </c:extLst>
            </c:dLbl>
            <c:dLbl>
              <c:idx val="3"/>
              <c:layout>
                <c:manualLayout>
                  <c:x val="-6.5859101010885199E-2"/>
                  <c:y val="8.03479176492525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C9-4C0B-A114-B07B9D4CA811}"/>
                </c:ext>
              </c:extLst>
            </c:dLbl>
            <c:dLbl>
              <c:idx val="4"/>
              <c:layout>
                <c:manualLayout>
                  <c:x val="0.16552057156681246"/>
                  <c:y val="4.1391231861008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C9-4C0B-A114-B07B9D4CA811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'EB240 Graphs'!$O$5:$O$9</c:f>
              <c:strCache>
                <c:ptCount val="5"/>
                <c:pt idx="0">
                  <c:v>Incorrect/Missing Weld</c:v>
                </c:pt>
                <c:pt idx="1">
                  <c:v>Stuck Blade</c:v>
                </c:pt>
                <c:pt idx="2">
                  <c:v>0.006 Jaw Gap Fail</c:v>
                </c:pt>
                <c:pt idx="3">
                  <c:v>Rough Jaw Actuation</c:v>
                </c:pt>
                <c:pt idx="4">
                  <c:v>0.003 Jaw Gap Fail</c:v>
                </c:pt>
              </c:strCache>
            </c:strRef>
          </c:cat>
          <c:val>
            <c:numRef>
              <c:f>'EB240 Graphs'!$R$5:$R$9</c:f>
              <c:numCache>
                <c:formatCode>General</c:formatCode>
                <c:ptCount val="5"/>
                <c:pt idx="0">
                  <c:v>38</c:v>
                </c:pt>
                <c:pt idx="1">
                  <c:v>31</c:v>
                </c:pt>
                <c:pt idx="2">
                  <c:v>15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C9-4C0B-A114-B07B9D4CA811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EEBA-4B9A-AA7A-DEA8AF1A8D90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EBA-4B9A-AA7A-DEA8AF1A8D90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EEBA-4B9A-AA7A-DEA8AF1A8D90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EEBA-4B9A-AA7A-DEA8AF1A8D90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EEBA-4B9A-AA7A-DEA8AF1A8D90}"/>
              </c:ext>
            </c:extLst>
          </c:dPt>
          <c:dLbls>
            <c:dLbl>
              <c:idx val="0"/>
              <c:layout>
                <c:manualLayout>
                  <c:x val="3.7351118763660859E-2"/>
                  <c:y val="2.026523217262765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BA-4B9A-AA7A-DEA8AF1A8D90}"/>
                </c:ext>
              </c:extLst>
            </c:dLbl>
            <c:dLbl>
              <c:idx val="1"/>
              <c:layout>
                <c:manualLayout>
                  <c:x val="-5.1092953175055328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BA-4B9A-AA7A-DEA8AF1A8D90}"/>
                </c:ext>
              </c:extLst>
            </c:dLbl>
            <c:dLbl>
              <c:idx val="2"/>
              <c:layout>
                <c:manualLayout>
                  <c:x val="-6.5292797187500529E-2"/>
                  <c:y val="0.230864490022543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BA-4B9A-AA7A-DEA8AF1A8D90}"/>
                </c:ext>
              </c:extLst>
            </c:dLbl>
            <c:dLbl>
              <c:idx val="3"/>
              <c:layout>
                <c:manualLayout>
                  <c:x val="-0.10492566973712107"/>
                  <c:y val="0.1787769930566960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BA-4B9A-AA7A-DEA8AF1A8D90}"/>
                </c:ext>
              </c:extLst>
            </c:dLbl>
            <c:dLbl>
              <c:idx val="4"/>
              <c:layout>
                <c:manualLayout>
                  <c:x val="-0.10365834114489471"/>
                  <c:y val="8.42493324864353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204865529618236"/>
                      <c:h val="0.193381622991827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EBA-4B9A-AA7A-DEA8AF1A8D90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'EB210 Graph'!$O$5:$O$9</c:f>
              <c:strCache>
                <c:ptCount val="5"/>
                <c:pt idx="0">
                  <c:v>Rough Actuation of Jaw</c:v>
                </c:pt>
                <c:pt idx="1">
                  <c:v>Continuity Fail</c:v>
                </c:pt>
                <c:pt idx="2">
                  <c:v>Insulation Damage</c:v>
                </c:pt>
                <c:pt idx="3">
                  <c:v>Stuck Blade</c:v>
                </c:pt>
                <c:pt idx="4">
                  <c:v>Incorrect Insulation Orientation</c:v>
                </c:pt>
              </c:strCache>
            </c:strRef>
          </c:cat>
          <c:val>
            <c:numRef>
              <c:f>'EB210 Graph'!$R$5:$R$9</c:f>
              <c:numCache>
                <c:formatCode>General</c:formatCode>
                <c:ptCount val="5"/>
                <c:pt idx="0">
                  <c:v>38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BA-4B9A-AA7A-DEA8AF1A8D9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Yield %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2441626098458455E-2"/>
          <c:y val="0.15415417101410475"/>
          <c:w val="0.93735964832063834"/>
          <c:h val="0.74808025703147341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accent6"/>
              </a:solidFill>
            </a:ln>
          </c:spPr>
          <c:invertIfNegative val="0"/>
          <c:dLbls>
            <c:dLbl>
              <c:idx val="0"/>
              <c:layout>
                <c:manualLayout>
                  <c:x val="2.9239766081872154E-3"/>
                  <c:y val="-2.5166513512244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E4-4A82-A1F4-1D0BBD4CBDBA}"/>
                </c:ext>
              </c:extLst>
            </c:dLbl>
            <c:dLbl>
              <c:idx val="1"/>
              <c:layout>
                <c:manualLayout>
                  <c:x val="2.9239766081872154E-3"/>
                  <c:y val="-3.62776213830208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E4-4A82-A1F4-1D0BBD4CBDBA}"/>
                </c:ext>
              </c:extLst>
            </c:dLbl>
            <c:dLbl>
              <c:idx val="2"/>
              <c:layout>
                <c:manualLayout>
                  <c:x val="-5.8479532163742704E-3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E4-4A82-A1F4-1D0BBD4CBDBA}"/>
                </c:ext>
              </c:extLst>
            </c:dLbl>
            <c:dLbl>
              <c:idx val="3"/>
              <c:layout>
                <c:manualLayout>
                  <c:x val="0"/>
                  <c:y val="-1.03517030178761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E4-4A82-A1F4-1D0BBD4CBDBA}"/>
                </c:ext>
              </c:extLst>
            </c:dLbl>
            <c:dLbl>
              <c:idx val="4"/>
              <c:layout>
                <c:manualLayout>
                  <c:x val="-1.4619883040935741E-3"/>
                  <c:y val="-3.99813240066132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E4-4A82-A1F4-1D0BBD4CBDBA}"/>
                </c:ext>
              </c:extLst>
            </c:dLbl>
            <c:dLbl>
              <c:idx val="5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E4-4A82-A1F4-1D0BBD4CBDBA}"/>
                </c:ext>
              </c:extLst>
            </c:dLbl>
            <c:dLbl>
              <c:idx val="6"/>
              <c:layout>
                <c:manualLayout>
                  <c:x val="0"/>
                  <c:y val="7.5940485290030993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E4-4A82-A1F4-1D0BBD4CBDBA}"/>
                </c:ext>
              </c:extLst>
            </c:dLbl>
            <c:dLbl>
              <c:idx val="7"/>
              <c:layout>
                <c:manualLayout>
                  <c:x val="0"/>
                  <c:y val="-2.944297770691892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E4-4A82-A1F4-1D0BBD4CBDBA}"/>
                </c:ext>
              </c:extLst>
            </c:dLbl>
            <c:dLbl>
              <c:idx val="8"/>
              <c:layout>
                <c:manualLayout>
                  <c:x val="0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E4-4A82-A1F4-1D0BBD4CBDBA}"/>
                </c:ext>
              </c:extLst>
            </c:dLbl>
            <c:dLbl>
              <c:idx val="9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E4-4A82-A1F4-1D0BBD4CBDBA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'EB240 Graphs'!$A$23:$A$30</c:f>
              <c:numCache>
                <c:formatCode>General</c:formatCode>
                <c:ptCount val="8"/>
                <c:pt idx="0">
                  <c:v>1512675</c:v>
                </c:pt>
                <c:pt idx="1">
                  <c:v>1513850</c:v>
                </c:pt>
                <c:pt idx="2">
                  <c:v>1514196</c:v>
                </c:pt>
                <c:pt idx="3">
                  <c:v>1516779</c:v>
                </c:pt>
                <c:pt idx="4">
                  <c:v>1517030</c:v>
                </c:pt>
                <c:pt idx="5">
                  <c:v>1514197</c:v>
                </c:pt>
                <c:pt idx="6">
                  <c:v>1518006</c:v>
                </c:pt>
                <c:pt idx="7">
                  <c:v>1519772</c:v>
                </c:pt>
              </c:numCache>
            </c:numRef>
          </c:cat>
          <c:val>
            <c:numRef>
              <c:f>'EB240 Graphs'!$D$23:$D$30</c:f>
              <c:numCache>
                <c:formatCode>0%</c:formatCode>
                <c:ptCount val="8"/>
                <c:pt idx="0">
                  <c:v>0.90514469453376201</c:v>
                </c:pt>
                <c:pt idx="1">
                  <c:v>0.93833333333333335</c:v>
                </c:pt>
                <c:pt idx="2">
                  <c:v>0.96763202725724018</c:v>
                </c:pt>
                <c:pt idx="3">
                  <c:v>0.96610169491525422</c:v>
                </c:pt>
                <c:pt idx="4">
                  <c:v>0.93521594684385378</c:v>
                </c:pt>
                <c:pt idx="5">
                  <c:v>0.89348171701112877</c:v>
                </c:pt>
                <c:pt idx="6">
                  <c:v>0.93939393939393945</c:v>
                </c:pt>
                <c:pt idx="7">
                  <c:v>0.92258064516129035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E4-4A82-A1F4-1D0BBD4CB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48718288"/>
        <c:axId val="248718848"/>
      </c:barChart>
      <c:catAx>
        <c:axId val="2487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8718848"/>
        <c:crosses val="autoZero"/>
        <c:auto val="1"/>
        <c:lblAlgn val="ctr"/>
        <c:lblOffset val="100"/>
        <c:noMultiLvlLbl val="0"/>
      </c:catAx>
      <c:valAx>
        <c:axId val="24871884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48718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33952044048591E-2"/>
          <c:y val="0.15686810380357119"/>
          <c:w val="0.94363635706743765"/>
          <c:h val="0.7497375673254294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'EB211 Graph'!$D$22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'EB211 Graph'!$A$23</c:f>
              <c:numCache>
                <c:formatCode>General</c:formatCode>
                <c:ptCount val="1"/>
                <c:pt idx="0">
                  <c:v>1513568</c:v>
                </c:pt>
              </c:numCache>
            </c:numRef>
          </c:cat>
          <c:val>
            <c:numRef>
              <c:f>'EB211 Graph'!$D$23</c:f>
              <c:numCache>
                <c:formatCode>0%</c:formatCode>
                <c:ptCount val="1"/>
                <c:pt idx="0">
                  <c:v>0.80605623648161495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6-4EA7-A937-4CCF4A54A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462224"/>
        <c:axId val="237462784"/>
      </c:barChart>
      <c:catAx>
        <c:axId val="23746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462784"/>
        <c:crosses val="autoZero"/>
        <c:auto val="1"/>
        <c:lblAlgn val="ctr"/>
        <c:lblOffset val="100"/>
        <c:noMultiLvlLbl val="0"/>
      </c:catAx>
      <c:valAx>
        <c:axId val="23746278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746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1-8B7C-4EA0-BEDD-6B63F103D057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7C-4EA0-BEDD-6B63F103D057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5-8B7C-4EA0-BEDD-6B63F103D057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7-8B7C-4EA0-BEDD-6B63F103D057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8B7C-4EA0-BEDD-6B63F103D057}"/>
              </c:ext>
            </c:extLst>
          </c:dPt>
          <c:dLbls>
            <c:dLbl>
              <c:idx val="0"/>
              <c:layout>
                <c:manualLayout>
                  <c:x val="3.7351118763660859E-2"/>
                  <c:y val="2.026523217262765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7C-4EA0-BEDD-6B63F103D057}"/>
                </c:ext>
              </c:extLst>
            </c:dLbl>
            <c:dLbl>
              <c:idx val="1"/>
              <c:layout>
                <c:manualLayout>
                  <c:x val="-5.2878319023227753E-2"/>
                  <c:y val="-3.30973356143377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7C-4EA0-BEDD-6B63F103D057}"/>
                </c:ext>
              </c:extLst>
            </c:dLbl>
            <c:dLbl>
              <c:idx val="2"/>
              <c:layout>
                <c:manualLayout>
                  <c:x val="-6.5292797187500529E-2"/>
                  <c:y val="0.230864490022543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7C-4EA0-BEDD-6B63F103D057}"/>
                </c:ext>
              </c:extLst>
            </c:dLbl>
            <c:dLbl>
              <c:idx val="3"/>
              <c:layout>
                <c:manualLayout>
                  <c:x val="-9.9569642482597642E-2"/>
                  <c:y val="7.95583872697858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469490487514525"/>
                      <c:h val="0.131107004204935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B7C-4EA0-BEDD-6B63F103D057}"/>
                </c:ext>
              </c:extLst>
            </c:dLbl>
            <c:dLbl>
              <c:idx val="4"/>
              <c:layout>
                <c:manualLayout>
                  <c:x val="0.14807824344742612"/>
                  <c:y val="7.04048758650060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064377762045315"/>
                      <c:h val="0.193381622991827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B7C-4EA0-BEDD-6B63F103D057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'EB211 Graph'!$O$5:$O$9</c:f>
              <c:strCache>
                <c:ptCount val="5"/>
                <c:pt idx="0">
                  <c:v>Rough Actuation of Jaw</c:v>
                </c:pt>
                <c:pt idx="1">
                  <c:v>0.003 Jaw Gap Fail</c:v>
                </c:pt>
                <c:pt idx="2">
                  <c:v>Incorrect Insulation Orientation</c:v>
                </c:pt>
                <c:pt idx="3">
                  <c:v>0.006 Jaw Gap Fail</c:v>
                </c:pt>
                <c:pt idx="4">
                  <c:v>Stuck Blade</c:v>
                </c:pt>
              </c:strCache>
            </c:strRef>
          </c:cat>
          <c:val>
            <c:numRef>
              <c:f>'EB211 Graph'!$R$5:$R$9</c:f>
              <c:numCache>
                <c:formatCode>General</c:formatCode>
                <c:ptCount val="5"/>
                <c:pt idx="0">
                  <c:v>108</c:v>
                </c:pt>
                <c:pt idx="1">
                  <c:v>83</c:v>
                </c:pt>
                <c:pt idx="2">
                  <c:v>24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7C-4EA0-BEDD-6B63F103D05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'EB212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'EB212 Graphs'!$A$23:$A$26</c:f>
              <c:numCache>
                <c:formatCode>General</c:formatCode>
                <c:ptCount val="4"/>
                <c:pt idx="0">
                  <c:v>1514184</c:v>
                </c:pt>
              </c:numCache>
            </c:numRef>
          </c:cat>
          <c:val>
            <c:numRef>
              <c:f>'EB212 Graphs'!$D$23:$D$26</c:f>
              <c:numCache>
                <c:formatCode>0%</c:formatCode>
                <c:ptCount val="4"/>
                <c:pt idx="0">
                  <c:v>0.93765586034912718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7-45AE-BA9A-991B4728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1-2D11-4941-BB02-A478553FA95A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11-4941-BB02-A478553FA95A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5-2D11-4941-BB02-A478553FA95A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7-2D11-4941-BB02-A478553FA95A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2D11-4941-BB02-A478553FA95A}"/>
              </c:ext>
            </c:extLst>
          </c:dPt>
          <c:dLbls>
            <c:dLbl>
              <c:idx val="0"/>
              <c:layout>
                <c:manualLayout>
                  <c:x val="3.8115924443967879E-2"/>
                  <c:y val="-3.08229153474571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11-4941-BB02-A478553FA95A}"/>
                </c:ext>
              </c:extLst>
            </c:dLbl>
            <c:dLbl>
              <c:idx val="1"/>
              <c:layout>
                <c:manualLayout>
                  <c:x val="8.160240528689057E-2"/>
                  <c:y val="3.8549868766394653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11-4941-BB02-A478553FA95A}"/>
                </c:ext>
              </c:extLst>
            </c:dLbl>
            <c:dLbl>
              <c:idx val="2"/>
              <c:layout>
                <c:manualLayout>
                  <c:x val="-6.3070493755396653E-2"/>
                  <c:y val="7.71705896188012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11-4941-BB02-A478553FA95A}"/>
                </c:ext>
              </c:extLst>
            </c:dLbl>
            <c:dLbl>
              <c:idx val="3"/>
              <c:layout>
                <c:manualLayout>
                  <c:x val="-5.1637338946798124E-2"/>
                  <c:y val="0.16456090677184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11-4941-BB02-A478553FA95A}"/>
                </c:ext>
              </c:extLst>
            </c:dLbl>
            <c:dLbl>
              <c:idx val="4"/>
              <c:layout>
                <c:manualLayout>
                  <c:x val="-8.9815765859825189E-2"/>
                  <c:y val="7.42681779530693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11-4941-BB02-A478553FA95A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'EB212 Graphs'!$O$5:$O$9</c:f>
              <c:strCache>
                <c:ptCount val="5"/>
                <c:pt idx="0">
                  <c:v>0.003 Jaw Gap Fail</c:v>
                </c:pt>
                <c:pt idx="1">
                  <c:v>Rough Actuation of Jaw</c:v>
                </c:pt>
                <c:pt idx="2">
                  <c:v>Damaged Harness</c:v>
                </c:pt>
                <c:pt idx="3">
                  <c:v>Insulation Damage</c:v>
                </c:pt>
                <c:pt idx="4">
                  <c:v>Continuity Fail</c:v>
                </c:pt>
              </c:strCache>
            </c:strRef>
          </c:cat>
          <c:val>
            <c:numRef>
              <c:f>'EB212 Graphs'!$R$5:$R$9</c:f>
              <c:numCache>
                <c:formatCode>General</c:formatCode>
                <c:ptCount val="5"/>
                <c:pt idx="0">
                  <c:v>25</c:v>
                </c:pt>
                <c:pt idx="1">
                  <c:v>11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11-4941-BB02-A478553FA95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'EB213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'EB213 Graphs'!$A$23</c:f>
              <c:numCache>
                <c:formatCode>General</c:formatCode>
                <c:ptCount val="1"/>
                <c:pt idx="0">
                  <c:v>1517972</c:v>
                </c:pt>
              </c:numCache>
            </c:numRef>
          </c:cat>
          <c:val>
            <c:numRef>
              <c:f>'EB213 Graphs'!$D$23</c:f>
              <c:numCache>
                <c:formatCode>0%</c:formatCode>
                <c:ptCount val="1"/>
                <c:pt idx="0">
                  <c:v>0.95115681233933158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D-43B3-A4D2-F6479D51A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1-E597-4435-A529-8BECBB54BEAA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97-4435-A529-8BECBB54BEAA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5-E597-4435-A529-8BECBB54BEAA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7-E597-4435-A529-8BECBB54BEAA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E597-4435-A529-8BECBB54BEAA}"/>
              </c:ext>
            </c:extLst>
          </c:dPt>
          <c:dLbls>
            <c:dLbl>
              <c:idx val="0"/>
              <c:layout>
                <c:manualLayout>
                  <c:x val="5.78260710073197E-2"/>
                  <c:y val="3.23634505092902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97-4435-A529-8BECBB54BEAA}"/>
                </c:ext>
              </c:extLst>
            </c:dLbl>
            <c:dLbl>
              <c:idx val="1"/>
              <c:layout>
                <c:manualLayout>
                  <c:x val="7.9810573781131239E-2"/>
                  <c:y val="1.08289761728149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97-4435-A529-8BECBB54BEAA}"/>
                </c:ext>
              </c:extLst>
            </c:dLbl>
            <c:dLbl>
              <c:idx val="2"/>
              <c:layout>
                <c:manualLayout>
                  <c:x val="-7.5613314295711484E-2"/>
                  <c:y val="8.31658314185949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97-4435-A529-8BECBB54BEAA}"/>
                </c:ext>
              </c:extLst>
            </c:dLbl>
            <c:dLbl>
              <c:idx val="3"/>
              <c:layout>
                <c:manualLayout>
                  <c:x val="-0.1036004526138166"/>
                  <c:y val="0.101374540915094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97-4435-A529-8BECBB54BEAA}"/>
                </c:ext>
              </c:extLst>
            </c:dLbl>
            <c:dLbl>
              <c:idx val="4"/>
              <c:layout>
                <c:manualLayout>
                  <c:x val="-2.3518000146732658E-2"/>
                  <c:y val="-6.150833137336493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97-4435-A529-8BECBB54BEAA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'EB213 Graphs'!$O$5:$O$9</c:f>
              <c:strCache>
                <c:ptCount val="5"/>
                <c:pt idx="0">
                  <c:v>Damaged Harness</c:v>
                </c:pt>
                <c:pt idx="1">
                  <c:v>Front Stops Not Touching</c:v>
                </c:pt>
                <c:pt idx="2">
                  <c:v>Jaw Short</c:v>
                </c:pt>
                <c:pt idx="3">
                  <c:v>0.003 Jaw Gap Fail</c:v>
                </c:pt>
                <c:pt idx="4">
                  <c:v>Fuse Switch</c:v>
                </c:pt>
              </c:strCache>
            </c:strRef>
          </c:cat>
          <c:val>
            <c:numRef>
              <c:f>'EB213 Graphs'!$R$5:$R$9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97-4435-A529-8BECBB54BEA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'EB214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'EB214 Graphs'!$A$23:$A$24</c:f>
              <c:numCache>
                <c:formatCode>General</c:formatCode>
                <c:ptCount val="2"/>
                <c:pt idx="0">
                  <c:v>1512025</c:v>
                </c:pt>
              </c:numCache>
            </c:numRef>
          </c:cat>
          <c:val>
            <c:numRef>
              <c:f>'EB214 Graphs'!$D$23:$D$24</c:f>
              <c:numCache>
                <c:formatCode>0%</c:formatCode>
                <c:ptCount val="2"/>
                <c:pt idx="0">
                  <c:v>0.94044665012406947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B-4A2A-846F-D7EE56B42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149679</xdr:rowOff>
    </xdr:from>
    <xdr:to>
      <xdr:col>13</xdr:col>
      <xdr:colOff>571499</xdr:colOff>
      <xdr:row>19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180040</xdr:colOff>
      <xdr:row>20</xdr:row>
      <xdr:rowOff>6164</xdr:rowOff>
    </xdr:from>
    <xdr:to>
      <xdr:col>13</xdr:col>
      <xdr:colOff>530678</xdr:colOff>
      <xdr:row>31</xdr:row>
      <xdr:rowOff>457200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212914</xdr:colOff>
      <xdr:row>19</xdr:row>
      <xdr:rowOff>134470</xdr:rowOff>
    </xdr:from>
    <xdr:to>
      <xdr:col>13</xdr:col>
      <xdr:colOff>582707</xdr:colOff>
      <xdr:row>32</xdr:row>
      <xdr:rowOff>89645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22412</xdr:colOff>
      <xdr:row>1</xdr:row>
      <xdr:rowOff>190498</xdr:rowOff>
    </xdr:from>
    <xdr:to>
      <xdr:col>13</xdr:col>
      <xdr:colOff>537882</xdr:colOff>
      <xdr:row>18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149679</xdr:rowOff>
    </xdr:from>
    <xdr:to>
      <xdr:col>13</xdr:col>
      <xdr:colOff>571499</xdr:colOff>
      <xdr:row>19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180040</xdr:colOff>
      <xdr:row>20</xdr:row>
      <xdr:rowOff>6164</xdr:rowOff>
    </xdr:from>
    <xdr:to>
      <xdr:col>13</xdr:col>
      <xdr:colOff>530678</xdr:colOff>
      <xdr:row>31</xdr:row>
      <xdr:rowOff>300718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78442</xdr:colOff>
      <xdr:row>20</xdr:row>
      <xdr:rowOff>9525</xdr:rowOff>
    </xdr:from>
    <xdr:to>
      <xdr:col>13</xdr:col>
      <xdr:colOff>403412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78442</xdr:colOff>
      <xdr:row>20</xdr:row>
      <xdr:rowOff>9525</xdr:rowOff>
    </xdr:from>
    <xdr:to>
      <xdr:col>13</xdr:col>
      <xdr:colOff>403412</xdr:colOff>
      <xdr:row>30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78442</xdr:colOff>
      <xdr:row>20</xdr:row>
      <xdr:rowOff>9525</xdr:rowOff>
    </xdr:from>
    <xdr:to>
      <xdr:col>13</xdr:col>
      <xdr:colOff>403412</xdr:colOff>
      <xdr:row>30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211792</xdr:colOff>
      <xdr:row>19</xdr:row>
      <xdr:rowOff>152399</xdr:rowOff>
    </xdr:from>
    <xdr:to>
      <xdr:col>13</xdr:col>
      <xdr:colOff>536762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89646</xdr:colOff>
      <xdr:row>20</xdr:row>
      <xdr:rowOff>2055</xdr:rowOff>
    </xdr:from>
    <xdr:to>
      <xdr:col>13</xdr:col>
      <xdr:colOff>414616</xdr:colOff>
      <xdr:row>30</xdr:row>
      <xdr:rowOff>119529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0</xdr:row>
      <xdr:rowOff>646019</xdr:rowOff>
    </xdr:from>
    <xdr:to>
      <xdr:col>14</xdr:col>
      <xdr:colOff>14007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100853</xdr:colOff>
      <xdr:row>19</xdr:row>
      <xdr:rowOff>31937</xdr:rowOff>
    </xdr:from>
    <xdr:to>
      <xdr:col>13</xdr:col>
      <xdr:colOff>425823</xdr:colOff>
      <xdr:row>29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20</xdr:row>
      <xdr:rowOff>47625</xdr:rowOff>
    </xdr:from>
    <xdr:to>
      <xdr:col>13</xdr:col>
      <xdr:colOff>481852</xdr:colOff>
      <xdr:row>31</xdr:row>
      <xdr:rowOff>159682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190499</xdr:rowOff>
    </xdr:from>
    <xdr:to>
      <xdr:col>13</xdr:col>
      <xdr:colOff>526676</xdr:colOff>
      <xdr:row>19</xdr:row>
      <xdr:rowOff>22413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4117" displayName="Table14117" ref="A22:E28" totalsRowShown="0" headerRowDxfId="222" dataDxfId="220" headerRowBorderDxfId="221" headerRowCellStyle="Normal" dataCellStyle="Normal">
  <tableColumns count="5">
    <tableColumn id="1" xr3:uid="{00000000-0010-0000-0000-000001000000}" name="Shop Order" dataDxfId="219" dataCellStyle="Normal"/>
    <tableColumn id="2" xr3:uid="{00000000-0010-0000-0000-000002000000}" name="Build QTY" dataDxfId="218" dataCellStyle="Normal">
      <calculatedColumnFormula>VLOOKUP(Table14117[[#This Row],[Shop Order]],'EB210'!A:AA,4,FALSE)</calculatedColumnFormula>
    </tableColumn>
    <tableColumn id="3" xr3:uid="{00000000-0010-0000-0000-000003000000}" name="Yield" dataDxfId="217" dataCellStyle="Normal">
      <calculatedColumnFormula>VLOOKUP(Table14117[[#This Row],[Shop Order]],'EB210'!A:Y,5,FALSE)</calculatedColumnFormula>
    </tableColumn>
    <tableColumn id="4" xr3:uid="{00000000-0010-0000-0000-000004000000}" name="Yield %" dataDxfId="216" dataCellStyle="Percent">
      <calculatedColumnFormula>VLOOKUP(Table14117[[#This Row],[Shop Order]],'EB210'!A:Y,6,FALSE)</calculatedColumnFormula>
    </tableColumn>
    <tableColumn id="5" xr3:uid="{00000000-0010-0000-0000-000005000000}" name="Date" dataDxfId="215" dataCellStyle="Normal">
      <calculatedColumnFormula>VLOOKUP(Table14117[[#This Row],[Shop Order]],'EB210'!A:Y,7,FALSE)</calculatedColumnFormula>
    </tableColumn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143611" displayName="Table143611" ref="A22:E30" totalsRowShown="0" headerRowDxfId="7" dataDxfId="5" headerRowBorderDxfId="6" headerRowCellStyle="Normal" dataCellStyle="Normal">
  <tableColumns count="5">
    <tableColumn id="1" xr3:uid="{00000000-0010-0000-0900-000001000000}" name="Shop Order" dataDxfId="4" dataCellStyle="Normal"/>
    <tableColumn id="2" xr3:uid="{00000000-0010-0000-0900-000002000000}" name="Build QTY" dataDxfId="3" dataCellStyle="Normal">
      <calculatedColumnFormula>VLOOKUP(Table143611[[#This Row],[Shop Order]],'EB240'!A:AC,4,FALSE)</calculatedColumnFormula>
    </tableColumn>
    <tableColumn id="3" xr3:uid="{00000000-0010-0000-0900-000003000000}" name="Yield" dataDxfId="2" dataCellStyle="Normal">
      <calculatedColumnFormula>VLOOKUP(Table143611[[#This Row],[Shop Order]],'EB240'!A:AC,5,FALSE)</calculatedColumnFormula>
    </tableColumn>
    <tableColumn id="4" xr3:uid="{00000000-0010-0000-0900-000004000000}" name="Yield %" dataDxfId="1" dataCellStyle="Percent">
      <calculatedColumnFormula>VLOOKUP(Table143611[[#This Row],[Shop Order]],'EB240'!A:AC,6,FALSE)</calculatedColumnFormula>
    </tableColumn>
    <tableColumn id="6" xr3:uid="{00000000-0010-0000-0900-000006000000}" name="Date" dataDxfId="0" dataCellStyle="Normal">
      <calculatedColumnFormula>VLOOKUP(Table143611[[#This Row],[Shop Order]],'EB240'!A:AC,7,FALSE)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1486" displayName="Table1486" ref="A22:E28" totalsRowShown="0" headerRowDxfId="210" dataDxfId="208" headerRowBorderDxfId="209" headerRowCellStyle="Normal" dataCellStyle="Normal">
  <tableColumns count="5">
    <tableColumn id="1" xr3:uid="{00000000-0010-0000-0100-000001000000}" name="Shop Order" dataDxfId="207" dataCellStyle="Normal"/>
    <tableColumn id="2" xr3:uid="{00000000-0010-0000-0100-000002000000}" name="Build QTY" dataDxfId="206" dataCellStyle="Normal">
      <calculatedColumnFormula>VLOOKUP(Table1486[[#This Row],[Shop Order]],'EB211'!A:AA,4,FALSE)</calculatedColumnFormula>
    </tableColumn>
    <tableColumn id="3" xr3:uid="{00000000-0010-0000-0100-000003000000}" name="Yield" dataDxfId="205" dataCellStyle="Normal">
      <calculatedColumnFormula>VLOOKUP(Table1486[[#This Row],[Shop Order]],'EB211'!A:AA,5,FALSE)</calculatedColumnFormula>
    </tableColumn>
    <tableColumn id="4" xr3:uid="{00000000-0010-0000-0100-000004000000}" name="Yield %" dataDxfId="204" dataCellStyle="Percent">
      <calculatedColumnFormula>VLOOKUP(Table1486[[#This Row],[Shop Order]],'EB211'!A:AA,6,FALSE)</calculatedColumnFormula>
    </tableColumn>
    <tableColumn id="5" xr3:uid="{00000000-0010-0000-0100-000005000000}" name="Date" dataDxfId="203" dataCellStyle="Normal">
      <calculatedColumnFormula>VLOOKUP(Table1486[[#This Row],[Shop Order]],'EB211'!A:AA,7,FALSE)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4112" displayName="Table14112" ref="A22:E28" totalsRowShown="0" headerRowDxfId="195" dataDxfId="193" headerRowBorderDxfId="194" headerRowCellStyle="Normal" dataCellStyle="Normal">
  <tableColumns count="5">
    <tableColumn id="1" xr3:uid="{00000000-0010-0000-0200-000001000000}" name="Shop Order" dataDxfId="192" dataCellStyle="Normal"/>
    <tableColumn id="2" xr3:uid="{00000000-0010-0000-0200-000002000000}" name="Build QTY" dataDxfId="191" dataCellStyle="Normal">
      <calculatedColumnFormula>VLOOKUP(Table14112[[#This Row],[Shop Order]],'EB212'!A:AA,4,FALSE)</calculatedColumnFormula>
    </tableColumn>
    <tableColumn id="3" xr3:uid="{00000000-0010-0000-0200-000003000000}" name="Yield" dataDxfId="190" dataCellStyle="Normal">
      <calculatedColumnFormula>VLOOKUP(Table14112[[#This Row],[Shop Order]],'EB212'!A:AA,5,FALSE)</calculatedColumnFormula>
    </tableColumn>
    <tableColumn id="4" xr3:uid="{00000000-0010-0000-0200-000004000000}" name="Yield %" dataDxfId="189" dataCellStyle="Percent">
      <calculatedColumnFormula>VLOOKUP(Table14112[[#This Row],[Shop Order]],'EB212'!A:AA,6,FALSE)</calculatedColumnFormula>
    </tableColumn>
    <tableColumn id="5" xr3:uid="{00000000-0010-0000-0200-000005000000}" name="Date" dataDxfId="188" dataCellStyle="Normal">
      <calculatedColumnFormula>VLOOKUP(Table14112[[#This Row],[Shop Order]],'EB212'!A:AA,7,FALSE)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141123" displayName="Table141123" ref="A22:E28" totalsRowShown="0" headerRowDxfId="180" dataDxfId="178" headerRowBorderDxfId="179" headerRowCellStyle="Normal" dataCellStyle="Normal">
  <tableColumns count="5">
    <tableColumn id="1" xr3:uid="{00000000-0010-0000-0300-000001000000}" name="Shop Order" dataDxfId="177" dataCellStyle="Normal"/>
    <tableColumn id="2" xr3:uid="{00000000-0010-0000-0300-000002000000}" name="Build QTY" dataDxfId="176" dataCellStyle="Normal">
      <calculatedColumnFormula>VLOOKUP(Table141123[[#This Row],[Shop Order]],'EB213'!A:AA,4,FALSE)</calculatedColumnFormula>
    </tableColumn>
    <tableColumn id="3" xr3:uid="{00000000-0010-0000-0300-000003000000}" name="Yield" dataDxfId="175" dataCellStyle="Normal">
      <calculatedColumnFormula>VLOOKUP(Table141123[[#This Row],[Shop Order]],'EB213'!A:AA,5,FALSE)</calculatedColumnFormula>
    </tableColumn>
    <tableColumn id="4" xr3:uid="{00000000-0010-0000-0300-000004000000}" name="Yield %" dataDxfId="174" dataCellStyle="Percent">
      <calculatedColumnFormula>VLOOKUP(Table141123[[#This Row],[Shop Order]],'EB213'!A:AA,6,FALSE)</calculatedColumnFormula>
    </tableColumn>
    <tableColumn id="5" xr3:uid="{00000000-0010-0000-0300-000005000000}" name="Date" dataDxfId="173" dataCellStyle="Normal">
      <calculatedColumnFormula>VLOOKUP(Table141123[[#This Row],[Shop Order]],'EB213'!A:AA,7,FALSE)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411234" displayName="Table1411234" ref="A22:E28" totalsRowShown="0" headerRowDxfId="166" dataDxfId="164" headerRowBorderDxfId="165" headerRowCellStyle="Normal" dataCellStyle="Normal">
  <tableColumns count="5">
    <tableColumn id="1" xr3:uid="{00000000-0010-0000-0400-000001000000}" name="Shop Order" dataDxfId="163" dataCellStyle="Normal"/>
    <tableColumn id="2" xr3:uid="{00000000-0010-0000-0400-000002000000}" name="Build QTY" dataDxfId="162" dataCellStyle="Normal">
      <calculatedColumnFormula>VLOOKUP(Table1411234[[#This Row],[Shop Order]],'EB214'!A:Z,4,FALSE)</calculatedColumnFormula>
    </tableColumn>
    <tableColumn id="3" xr3:uid="{00000000-0010-0000-0400-000003000000}" name="Yield" dataDxfId="161" dataCellStyle="Normal">
      <calculatedColumnFormula>VLOOKUP(Table1411234[[#This Row],[Shop Order]],'EB214'!A:Z,5,FALSE)</calculatedColumnFormula>
    </tableColumn>
    <tableColumn id="4" xr3:uid="{00000000-0010-0000-0400-000004000000}" name="Yield %" dataDxfId="160" dataCellStyle="Percent">
      <calculatedColumnFormula>VLOOKUP(Table1411234[[#This Row],[Shop Order]],'EB214'!A:Z,6,FALSE)</calculatedColumnFormula>
    </tableColumn>
    <tableColumn id="5" xr3:uid="{00000000-0010-0000-0400-000005000000}" name="Date" dataDxfId="159" dataCellStyle="Normal">
      <calculatedColumnFormula>VLOOKUP(Table1411234[[#This Row],[Shop Order]],'EB214'!A:Z,7,FALSE)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1411" displayName="Table1411" ref="A22:E30" totalsRowShown="0" headerRowDxfId="98" dataDxfId="96" headerRowBorderDxfId="97" headerRowCellStyle="Normal" dataCellStyle="Normal">
  <tableColumns count="5">
    <tableColumn id="1" xr3:uid="{00000000-0010-0000-0500-000001000000}" name="Shop Order" dataDxfId="95" dataCellStyle="Normal"/>
    <tableColumn id="2" xr3:uid="{00000000-0010-0000-0500-000002000000}" name="Build QTY" dataDxfId="94" dataCellStyle="Normal">
      <calculatedColumnFormula>VLOOKUP(Table1411[[#This Row],[Shop Order]],'EB215'!A:Y,4,FALSE)</calculatedColumnFormula>
    </tableColumn>
    <tableColumn id="3" xr3:uid="{00000000-0010-0000-0500-000003000000}" name="Yield" dataDxfId="93" dataCellStyle="Normal">
      <calculatedColumnFormula>VLOOKUP(Table1411[[#This Row],[Shop Order]],'EB215'!A:Y,5,FALSE)</calculatedColumnFormula>
    </tableColumn>
    <tableColumn id="4" xr3:uid="{00000000-0010-0000-0500-000004000000}" name="Yield %" dataDxfId="92" dataCellStyle="Percent">
      <calculatedColumnFormula>VLOOKUP(Table1411[[#This Row],[Shop Order]],'EB215'!A:Y,6,FALSE)</calculatedColumnFormula>
    </tableColumn>
    <tableColumn id="5" xr3:uid="{00000000-0010-0000-0500-000005000000}" name="Date" dataDxfId="91" dataCellStyle="Normal">
      <calculatedColumnFormula>VLOOKUP(Table1411[[#This Row],[Shop Order]],'EB215'!A:Y,7,FALSE)</calculatedColumnFormula>
    </tableColumn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4312" displayName="Table14312" ref="A22:E28" totalsRowShown="0" headerRowDxfId="86" dataDxfId="84" headerRowBorderDxfId="85" headerRowCellStyle="Normal" dataCellStyle="Normal">
  <tableColumns count="5">
    <tableColumn id="1" xr3:uid="{00000000-0010-0000-0600-000001000000}" name="Shop Order" dataDxfId="83" dataCellStyle="Normal"/>
    <tableColumn id="2" xr3:uid="{00000000-0010-0000-0600-000002000000}" name="Build QTY" dataDxfId="82" dataCellStyle="Normal">
      <calculatedColumnFormula>VLOOKUP(Table14312[[#This Row],[Shop Order]],'EB216'!A:Y,4,FALSE)</calculatedColumnFormula>
    </tableColumn>
    <tableColumn id="3" xr3:uid="{00000000-0010-0000-0600-000003000000}" name="Yield" dataDxfId="81" dataCellStyle="Normal">
      <calculatedColumnFormula>VLOOKUP(Table14312[[#This Row],[Shop Order]],'EB216'!A:Y,5,FALSE)</calculatedColumnFormula>
    </tableColumn>
    <tableColumn id="4" xr3:uid="{00000000-0010-0000-0600-000004000000}" name="Yield %" dataDxfId="80" dataCellStyle="Percent">
      <calculatedColumnFormula>VLOOKUP(Table14312[[#This Row],[Shop Order]],'EB216'!A:Y,6,FALSE)</calculatedColumnFormula>
    </tableColumn>
    <tableColumn id="5" xr3:uid="{00000000-0010-0000-0600-000005000000}" name="Date" dataDxfId="79" dataCellStyle="Normal">
      <calculatedColumnFormula>VLOOKUP(Table14312[[#This Row],[Shop Order]],'EB216'!A:Y,7,FALSE)</calculatedColumnFormula>
    </tableColumn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1435" displayName="Table1435" ref="A22:E28" totalsRowShown="0" headerRowDxfId="65" dataDxfId="63" headerRowBorderDxfId="64" headerRowCellStyle="Normal" dataCellStyle="Normal">
  <tableColumns count="5">
    <tableColumn id="1" xr3:uid="{00000000-0010-0000-0700-000001000000}" name="Shop Order" dataDxfId="62" dataCellStyle="Normal"/>
    <tableColumn id="2" xr3:uid="{00000000-0010-0000-0700-000002000000}" name="Build QTY" dataDxfId="61" dataCellStyle="Normal">
      <calculatedColumnFormula>VLOOKUP(Table1435[[#This Row],[Shop Order]],'EB217'!A:Y,4,FALSE)</calculatedColumnFormula>
    </tableColumn>
    <tableColumn id="3" xr3:uid="{00000000-0010-0000-0700-000003000000}" name="Yield" dataDxfId="60" dataCellStyle="Normal">
      <calculatedColumnFormula>VLOOKUP(Table1435[[#This Row],[Shop Order]],'EB217'!A:Y,5,FALSE)</calculatedColumnFormula>
    </tableColumn>
    <tableColumn id="4" xr3:uid="{00000000-0010-0000-0700-000004000000}" name="Yield %" dataDxfId="59" dataCellStyle="Percent">
      <calculatedColumnFormula>VLOOKUP(Table1435[[#This Row],[Shop Order]],'EB217'!A:Y,6,FALSE)</calculatedColumnFormula>
    </tableColumn>
    <tableColumn id="5" xr3:uid="{00000000-0010-0000-0700-000005000000}" name="Date" dataDxfId="58" dataCellStyle="Normal">
      <calculatedColumnFormula>VLOOKUP(Table1435[[#This Row],[Shop Order]],'EB217'!A:Y,7,FALSE)</calculatedColumnFormula>
    </tableColumn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14310" displayName="Table14310" ref="A22:E29" totalsRowShown="0" headerRowDxfId="57" dataDxfId="55" headerRowBorderDxfId="56" headerRowCellStyle="Normal" dataCellStyle="Normal">
  <tableColumns count="5">
    <tableColumn id="1" xr3:uid="{00000000-0010-0000-0800-000001000000}" name="Shop Order" dataDxfId="54" dataCellStyle="Normal"/>
    <tableColumn id="2" xr3:uid="{00000000-0010-0000-0800-000002000000}" name="Build QTY" dataDxfId="53" dataCellStyle="Normal">
      <calculatedColumnFormula>VLOOKUP(Table14310[[#This Row],[Shop Order]],'EB230'!A:AD,5,FALSE)</calculatedColumnFormula>
    </tableColumn>
    <tableColumn id="3" xr3:uid="{00000000-0010-0000-0800-000003000000}" name="Yield" dataDxfId="52" dataCellStyle="Normal">
      <calculatedColumnFormula>VLOOKUP(Table14310[[#This Row],[Shop Order]],'EB230'!A:AD,6,FALSE)</calculatedColumnFormula>
    </tableColumn>
    <tableColumn id="4" xr3:uid="{00000000-0010-0000-0800-000004000000}" name="Yield %" dataDxfId="51" dataCellStyle="Percent">
      <calculatedColumnFormula>VLOOKUP(Table14310[[#This Row],[Shop Order]],'EB230'!A:AD,7,FALSE)</calculatedColumnFormula>
    </tableColumn>
    <tableColumn id="6" xr3:uid="{00000000-0010-0000-0800-000006000000}" name="Date" dataDxfId="50" dataCellStyle="Normal">
      <calculatedColumnFormula>VLOOKUP(Table14310[[#This Row],[Shop Order]],'EB230'!A:AD,9,FALSE)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86"/>
  <sheetViews>
    <sheetView topLeftCell="A54" zoomScale="65" zoomScaleNormal="65" zoomScaleSheetLayoutView="90" workbookViewId="0">
      <selection activeCell="U94" sqref="U94"/>
    </sheetView>
  </sheetViews>
  <sheetFormatPr defaultColWidth="9.140625" defaultRowHeight="15" x14ac:dyDescent="0.25"/>
  <cols>
    <col min="1" max="1" width="14.5703125" style="41" bestFit="1" customWidth="1"/>
    <col min="2" max="2" width="12.7109375" style="41" customWidth="1"/>
    <col min="3" max="3" width="7.5703125" style="41" customWidth="1"/>
    <col min="4" max="4" width="10" style="41" customWidth="1"/>
    <col min="5" max="5" width="8" style="41" bestFit="1" customWidth="1"/>
    <col min="6" max="6" width="11.140625" style="41" bestFit="1" customWidth="1"/>
    <col min="7" max="7" width="12.5703125" style="13" bestFit="1" customWidth="1"/>
    <col min="8" max="19" width="14.7109375" style="7" customWidth="1"/>
    <col min="20" max="20" width="8.42578125" style="8" bestFit="1" customWidth="1"/>
    <col min="21" max="21" width="11.140625" style="9" bestFit="1" customWidth="1"/>
    <col min="22" max="22" width="40.7109375" style="41" customWidth="1"/>
    <col min="23" max="23" width="52.28515625" style="10" customWidth="1"/>
    <col min="24" max="29" width="9.140625" style="12"/>
    <col min="30" max="16384" width="9.140625" style="41"/>
  </cols>
  <sheetData>
    <row r="1" spans="1:23" ht="75.75" thickBot="1" x14ac:dyDescent="0.3">
      <c r="A1" s="42" t="s">
        <v>22</v>
      </c>
      <c r="B1" s="42" t="s">
        <v>47</v>
      </c>
      <c r="C1" s="43" t="s">
        <v>52</v>
      </c>
      <c r="D1" s="43" t="s">
        <v>17</v>
      </c>
      <c r="E1" s="42" t="s">
        <v>16</v>
      </c>
      <c r="F1" s="44" t="s">
        <v>1</v>
      </c>
      <c r="G1" s="45" t="s">
        <v>23</v>
      </c>
      <c r="H1" s="46" t="s">
        <v>72</v>
      </c>
      <c r="I1" s="46" t="s">
        <v>73</v>
      </c>
      <c r="J1" s="46" t="s">
        <v>53</v>
      </c>
      <c r="K1" s="46" t="s">
        <v>58</v>
      </c>
      <c r="L1" s="46" t="s">
        <v>54</v>
      </c>
      <c r="M1" s="46" t="s">
        <v>59</v>
      </c>
      <c r="N1" s="46" t="s">
        <v>55</v>
      </c>
      <c r="O1" s="46" t="s">
        <v>60</v>
      </c>
      <c r="P1" s="46" t="s">
        <v>56</v>
      </c>
      <c r="Q1" s="46" t="s">
        <v>74</v>
      </c>
      <c r="R1" s="46" t="s">
        <v>115</v>
      </c>
      <c r="S1" s="46" t="s">
        <v>41</v>
      </c>
      <c r="T1" s="46" t="s">
        <v>4</v>
      </c>
      <c r="U1" s="42" t="s">
        <v>2</v>
      </c>
      <c r="V1" s="80" t="s">
        <v>20</v>
      </c>
      <c r="W1" s="81" t="s">
        <v>6</v>
      </c>
    </row>
    <row r="2" spans="1:23" ht="15.75" thickBot="1" x14ac:dyDescent="0.3">
      <c r="A2" s="316">
        <v>1511627</v>
      </c>
      <c r="B2" s="209" t="s">
        <v>194</v>
      </c>
      <c r="C2" s="316">
        <v>150</v>
      </c>
      <c r="D2" s="316">
        <v>150</v>
      </c>
      <c r="E2" s="321">
        <v>133</v>
      </c>
      <c r="F2" s="322">
        <f>E2/D2</f>
        <v>0.88666666666666671</v>
      </c>
      <c r="G2" s="48">
        <v>45302</v>
      </c>
      <c r="H2" s="82"/>
      <c r="I2" s="83"/>
      <c r="J2" s="83"/>
      <c r="K2" s="83"/>
      <c r="L2" s="83"/>
      <c r="M2" s="83"/>
      <c r="N2" s="83"/>
      <c r="O2" s="83"/>
      <c r="P2" s="83"/>
      <c r="Q2" s="83"/>
      <c r="R2" s="83"/>
      <c r="S2" s="84"/>
      <c r="T2" s="296"/>
      <c r="U2" s="115"/>
      <c r="V2" s="86" t="s">
        <v>75</v>
      </c>
      <c r="W2" s="353" t="s">
        <v>191</v>
      </c>
    </row>
    <row r="3" spans="1:23" ht="15.75" x14ac:dyDescent="0.25">
      <c r="A3" s="87"/>
      <c r="B3" s="88"/>
      <c r="C3" s="88"/>
      <c r="D3" s="88"/>
      <c r="E3" s="88"/>
      <c r="F3" s="88"/>
      <c r="G3" s="89"/>
      <c r="H3" s="90">
        <v>1</v>
      </c>
      <c r="I3" s="91"/>
      <c r="J3" s="91"/>
      <c r="K3" s="91"/>
      <c r="L3" s="91"/>
      <c r="M3" s="91"/>
      <c r="N3" s="91"/>
      <c r="O3" s="91"/>
      <c r="P3" s="91"/>
      <c r="Q3" s="91"/>
      <c r="R3" s="91"/>
      <c r="S3" s="250"/>
      <c r="T3" s="249">
        <f>SUM(H3,J3,L3,N3,P3,R3,S3)</f>
        <v>1</v>
      </c>
      <c r="U3" s="349">
        <f>($T3)/$D$2</f>
        <v>6.6666666666666671E-3</v>
      </c>
      <c r="V3" s="202" t="s">
        <v>15</v>
      </c>
      <c r="W3" s="210"/>
    </row>
    <row r="4" spans="1:23" ht="15.75" x14ac:dyDescent="0.25">
      <c r="A4" s="96"/>
      <c r="B4" s="97"/>
      <c r="C4" s="97"/>
      <c r="D4" s="97"/>
      <c r="E4" s="97"/>
      <c r="F4" s="97"/>
      <c r="G4" s="98"/>
      <c r="H4" s="348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253"/>
      <c r="T4" s="249">
        <f>SUM(H4,J4,L4,N4,P4,R4,S4)</f>
        <v>0</v>
      </c>
      <c r="U4" s="299">
        <f t="shared" ref="U4:U42" si="0">($T4)/$D$2</f>
        <v>0</v>
      </c>
      <c r="V4" s="206" t="s">
        <v>43</v>
      </c>
      <c r="W4" s="210"/>
    </row>
    <row r="5" spans="1:23" ht="15.75" x14ac:dyDescent="0.25">
      <c r="A5" s="96"/>
      <c r="B5" s="97"/>
      <c r="C5" s="97"/>
      <c r="D5" s="97"/>
      <c r="E5" s="97"/>
      <c r="F5" s="97"/>
      <c r="G5" s="98"/>
      <c r="H5" s="99">
        <v>9</v>
      </c>
      <c r="I5" s="63"/>
      <c r="J5" s="63"/>
      <c r="K5" s="63"/>
      <c r="L5" s="63"/>
      <c r="M5" s="63"/>
      <c r="N5" s="63"/>
      <c r="O5" s="63"/>
      <c r="P5" s="63"/>
      <c r="Q5" s="63"/>
      <c r="R5" s="63"/>
      <c r="S5" s="251"/>
      <c r="T5" s="247">
        <f t="shared" ref="T5:T31" si="1">SUM(H5,J5,L5,N5,P5,R5,S5)</f>
        <v>9</v>
      </c>
      <c r="U5" s="93">
        <f t="shared" si="0"/>
        <v>0.06</v>
      </c>
      <c r="V5" s="203" t="s">
        <v>5</v>
      </c>
      <c r="W5" s="351"/>
    </row>
    <row r="6" spans="1:23" ht="15.75" x14ac:dyDescent="0.25">
      <c r="A6" s="96"/>
      <c r="B6" s="97"/>
      <c r="C6" s="97"/>
      <c r="D6" s="97"/>
      <c r="E6" s="104"/>
      <c r="F6" s="104"/>
      <c r="G6" s="98"/>
      <c r="H6" s="99"/>
      <c r="I6" s="63"/>
      <c r="J6" s="63"/>
      <c r="K6" s="63"/>
      <c r="L6" s="63"/>
      <c r="M6" s="63"/>
      <c r="N6" s="63"/>
      <c r="O6" s="63"/>
      <c r="P6" s="63"/>
      <c r="Q6" s="63"/>
      <c r="R6" s="63"/>
      <c r="S6" s="251"/>
      <c r="T6" s="247">
        <f t="shared" si="1"/>
        <v>0</v>
      </c>
      <c r="U6" s="93">
        <f t="shared" si="0"/>
        <v>0</v>
      </c>
      <c r="V6" s="203" t="s">
        <v>13</v>
      </c>
      <c r="W6" s="244"/>
    </row>
    <row r="7" spans="1:23" ht="15.75" x14ac:dyDescent="0.25">
      <c r="A7" s="96"/>
      <c r="B7" s="97"/>
      <c r="C7" s="97"/>
      <c r="D7" s="97"/>
      <c r="E7" s="104"/>
      <c r="F7" s="104"/>
      <c r="G7" s="98"/>
      <c r="H7" s="99">
        <v>3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251">
        <v>1</v>
      </c>
      <c r="T7" s="247">
        <f t="shared" si="1"/>
        <v>4</v>
      </c>
      <c r="U7" s="93">
        <f t="shared" si="0"/>
        <v>2.6666666666666668E-2</v>
      </c>
      <c r="V7" s="203" t="s">
        <v>14</v>
      </c>
      <c r="W7" s="311"/>
    </row>
    <row r="8" spans="1:23" ht="15.75" x14ac:dyDescent="0.25">
      <c r="A8" s="96"/>
      <c r="B8" s="97"/>
      <c r="C8" s="97"/>
      <c r="D8" s="97"/>
      <c r="E8" s="104"/>
      <c r="F8" s="104"/>
      <c r="G8" s="98"/>
      <c r="H8" s="99"/>
      <c r="I8" s="63"/>
      <c r="J8" s="63"/>
      <c r="K8" s="63"/>
      <c r="L8" s="63"/>
      <c r="M8" s="63"/>
      <c r="N8" s="63"/>
      <c r="O8" s="63"/>
      <c r="P8" s="63"/>
      <c r="Q8" s="63"/>
      <c r="R8" s="63"/>
      <c r="S8" s="251">
        <v>1</v>
      </c>
      <c r="T8" s="247">
        <f t="shared" si="1"/>
        <v>1</v>
      </c>
      <c r="U8" s="93">
        <f t="shared" si="0"/>
        <v>6.6666666666666671E-3</v>
      </c>
      <c r="V8" s="203" t="s">
        <v>30</v>
      </c>
      <c r="W8" s="311"/>
    </row>
    <row r="9" spans="1:23" ht="15.75" x14ac:dyDescent="0.25">
      <c r="A9" s="96"/>
      <c r="B9" s="97"/>
      <c r="C9" s="97"/>
      <c r="D9" s="97"/>
      <c r="E9" s="104"/>
      <c r="F9" s="104"/>
      <c r="G9" s="98"/>
      <c r="H9" s="99"/>
      <c r="I9" s="63"/>
      <c r="J9" s="63"/>
      <c r="K9" s="63"/>
      <c r="L9" s="63"/>
      <c r="M9" s="63"/>
      <c r="N9" s="63"/>
      <c r="O9" s="63"/>
      <c r="P9" s="63"/>
      <c r="Q9" s="63"/>
      <c r="R9" s="63"/>
      <c r="S9" s="251"/>
      <c r="T9" s="247">
        <f t="shared" si="1"/>
        <v>0</v>
      </c>
      <c r="U9" s="93">
        <f t="shared" si="0"/>
        <v>0</v>
      </c>
      <c r="V9" s="203" t="s">
        <v>31</v>
      </c>
      <c r="W9" s="105"/>
    </row>
    <row r="10" spans="1:23" ht="15.75" x14ac:dyDescent="0.25">
      <c r="A10" s="96"/>
      <c r="B10" s="97"/>
      <c r="C10" s="97"/>
      <c r="D10" s="97"/>
      <c r="E10" s="104"/>
      <c r="F10" s="104"/>
      <c r="G10" s="98"/>
      <c r="H10" s="99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251"/>
      <c r="T10" s="247">
        <f t="shared" si="1"/>
        <v>0</v>
      </c>
      <c r="U10" s="93">
        <f t="shared" si="0"/>
        <v>0</v>
      </c>
      <c r="V10" s="203" t="s">
        <v>168</v>
      </c>
      <c r="W10" s="323"/>
    </row>
    <row r="11" spans="1:23" ht="15.75" x14ac:dyDescent="0.25">
      <c r="A11" s="96"/>
      <c r="B11" s="97"/>
      <c r="C11" s="97"/>
      <c r="D11" s="97"/>
      <c r="E11" s="104"/>
      <c r="F11" s="104"/>
      <c r="G11" s="98"/>
      <c r="H11" s="99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251"/>
      <c r="T11" s="247">
        <f t="shared" si="1"/>
        <v>0</v>
      </c>
      <c r="U11" s="93">
        <f t="shared" si="0"/>
        <v>0</v>
      </c>
      <c r="V11" s="204" t="s">
        <v>202</v>
      </c>
      <c r="W11" s="105"/>
    </row>
    <row r="12" spans="1:23" ht="15.75" x14ac:dyDescent="0.25">
      <c r="A12" s="96"/>
      <c r="B12" s="97"/>
      <c r="C12" s="97"/>
      <c r="D12" s="97"/>
      <c r="E12" s="104"/>
      <c r="F12" s="104"/>
      <c r="G12" s="98"/>
      <c r="H12" s="99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251"/>
      <c r="T12" s="247">
        <f t="shared" si="1"/>
        <v>0</v>
      </c>
      <c r="U12" s="93">
        <f t="shared" si="0"/>
        <v>0</v>
      </c>
      <c r="V12" s="203" t="s">
        <v>0</v>
      </c>
      <c r="W12" s="354"/>
    </row>
    <row r="13" spans="1:23" ht="15.75" x14ac:dyDescent="0.25">
      <c r="A13" s="96"/>
      <c r="B13" s="97"/>
      <c r="C13" s="97"/>
      <c r="D13" s="97"/>
      <c r="E13" s="104"/>
      <c r="F13" s="104"/>
      <c r="G13" s="98"/>
      <c r="H13" s="99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251">
        <v>1</v>
      </c>
      <c r="T13" s="247">
        <f t="shared" si="1"/>
        <v>1</v>
      </c>
      <c r="U13" s="93">
        <f t="shared" si="0"/>
        <v>6.6666666666666671E-3</v>
      </c>
      <c r="V13" s="203" t="s">
        <v>11</v>
      </c>
      <c r="W13" s="354"/>
    </row>
    <row r="14" spans="1:23" ht="15.75" x14ac:dyDescent="0.25">
      <c r="A14" s="96"/>
      <c r="B14" s="97"/>
      <c r="C14" s="97"/>
      <c r="D14" s="97"/>
      <c r="E14" s="104"/>
      <c r="F14" s="104" t="s">
        <v>100</v>
      </c>
      <c r="G14" s="98"/>
      <c r="H14" s="99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251">
        <v>1</v>
      </c>
      <c r="T14" s="247">
        <f t="shared" si="1"/>
        <v>1</v>
      </c>
      <c r="U14" s="93">
        <f t="shared" si="0"/>
        <v>6.6666666666666671E-3</v>
      </c>
      <c r="V14" s="203" t="s">
        <v>33</v>
      </c>
      <c r="W14" s="326"/>
    </row>
    <row r="15" spans="1:23" ht="15.75" x14ac:dyDescent="0.25">
      <c r="A15" s="96"/>
      <c r="B15" s="97"/>
      <c r="C15" s="97"/>
      <c r="D15" s="97"/>
      <c r="E15" s="104"/>
      <c r="F15" s="104"/>
      <c r="G15" s="98"/>
      <c r="H15" s="99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251"/>
      <c r="T15" s="247">
        <f t="shared" si="1"/>
        <v>0</v>
      </c>
      <c r="U15" s="93">
        <f t="shared" si="0"/>
        <v>0</v>
      </c>
      <c r="V15" s="204" t="s">
        <v>27</v>
      </c>
      <c r="W15" s="354"/>
    </row>
    <row r="16" spans="1:23" ht="15.75" x14ac:dyDescent="0.25">
      <c r="A16" s="96"/>
      <c r="B16" s="97"/>
      <c r="C16" s="97"/>
      <c r="D16" s="97"/>
      <c r="E16" s="104"/>
      <c r="F16" s="104"/>
      <c r="G16" s="109"/>
      <c r="H16" s="110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251"/>
      <c r="T16" s="247">
        <f t="shared" si="1"/>
        <v>0</v>
      </c>
      <c r="U16" s="93">
        <f t="shared" si="0"/>
        <v>0</v>
      </c>
      <c r="V16" s="204" t="s">
        <v>26</v>
      </c>
      <c r="W16" s="212"/>
    </row>
    <row r="17" spans="1:23" ht="15.75" x14ac:dyDescent="0.25">
      <c r="A17" s="96"/>
      <c r="B17" s="97"/>
      <c r="C17" s="97"/>
      <c r="D17" s="97"/>
      <c r="E17" s="104"/>
      <c r="F17" s="104"/>
      <c r="G17" s="109"/>
      <c r="H17" s="110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251"/>
      <c r="T17" s="247">
        <f t="shared" si="1"/>
        <v>0</v>
      </c>
      <c r="U17" s="93">
        <f t="shared" si="0"/>
        <v>0</v>
      </c>
      <c r="V17" s="204" t="s">
        <v>236</v>
      </c>
      <c r="W17" s="103"/>
    </row>
    <row r="18" spans="1:23" ht="16.5" thickBot="1" x14ac:dyDescent="0.3">
      <c r="A18" s="96"/>
      <c r="B18" s="97"/>
      <c r="C18" s="97"/>
      <c r="D18" s="97"/>
      <c r="E18" s="104"/>
      <c r="F18" s="104"/>
      <c r="G18" s="109"/>
      <c r="H18" s="186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252"/>
      <c r="T18" s="248">
        <f t="shared" si="1"/>
        <v>0</v>
      </c>
      <c r="U18" s="245">
        <f t="shared" si="0"/>
        <v>0</v>
      </c>
      <c r="V18" s="205" t="s">
        <v>71</v>
      </c>
      <c r="W18" s="212"/>
    </row>
    <row r="19" spans="1:23" ht="15.75" x14ac:dyDescent="0.25">
      <c r="A19" s="96"/>
      <c r="B19" s="97"/>
      <c r="C19" s="97"/>
      <c r="D19" s="97"/>
      <c r="E19" s="104"/>
      <c r="F19" s="104"/>
      <c r="G19" s="98"/>
      <c r="H19" s="90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253"/>
      <c r="T19" s="249">
        <f t="shared" si="1"/>
        <v>0</v>
      </c>
      <c r="U19" s="183">
        <f t="shared" si="0"/>
        <v>0</v>
      </c>
      <c r="V19" s="206" t="s">
        <v>10</v>
      </c>
      <c r="W19" s="106"/>
    </row>
    <row r="20" spans="1:23" ht="15.75" x14ac:dyDescent="0.25">
      <c r="A20" s="96"/>
      <c r="B20" s="97"/>
      <c r="C20" s="97"/>
      <c r="D20" s="97"/>
      <c r="E20" s="104"/>
      <c r="F20" s="104"/>
      <c r="G20" s="98"/>
      <c r="H20" s="99"/>
      <c r="I20" s="213"/>
      <c r="J20" s="63"/>
      <c r="K20" s="63"/>
      <c r="L20" s="63"/>
      <c r="M20" s="63"/>
      <c r="N20" s="63"/>
      <c r="O20" s="63"/>
      <c r="P20" s="63"/>
      <c r="Q20" s="63"/>
      <c r="R20" s="63"/>
      <c r="S20" s="251"/>
      <c r="T20" s="247">
        <f t="shared" si="1"/>
        <v>0</v>
      </c>
      <c r="U20" s="93">
        <f t="shared" si="0"/>
        <v>0</v>
      </c>
      <c r="V20" s="331" t="s">
        <v>94</v>
      </c>
      <c r="W20" s="106"/>
    </row>
    <row r="21" spans="1:23" ht="15.75" x14ac:dyDescent="0.25">
      <c r="A21" s="96"/>
      <c r="B21" s="97"/>
      <c r="C21" s="97"/>
      <c r="D21" s="97"/>
      <c r="E21" s="104"/>
      <c r="F21" s="104"/>
      <c r="G21" s="98"/>
      <c r="H21" s="99"/>
      <c r="I21" s="214"/>
      <c r="J21" s="63"/>
      <c r="K21" s="63"/>
      <c r="L21" s="63"/>
      <c r="M21" s="63"/>
      <c r="N21" s="63"/>
      <c r="O21" s="63"/>
      <c r="P21" s="63"/>
      <c r="Q21" s="63"/>
      <c r="R21" s="63"/>
      <c r="S21" s="251"/>
      <c r="T21" s="247">
        <f t="shared" si="1"/>
        <v>0</v>
      </c>
      <c r="U21" s="93">
        <f t="shared" si="0"/>
        <v>0</v>
      </c>
      <c r="V21" s="203" t="s">
        <v>3</v>
      </c>
      <c r="W21" s="105"/>
    </row>
    <row r="22" spans="1:23" ht="15.75" x14ac:dyDescent="0.25">
      <c r="A22" s="96"/>
      <c r="B22" s="97"/>
      <c r="C22" s="97"/>
      <c r="D22" s="97"/>
      <c r="E22" s="97"/>
      <c r="F22" s="104"/>
      <c r="G22" s="98"/>
      <c r="H22" s="99"/>
      <c r="I22" s="214"/>
      <c r="J22" s="63"/>
      <c r="K22" s="63"/>
      <c r="L22" s="63"/>
      <c r="M22" s="63"/>
      <c r="N22" s="63"/>
      <c r="O22" s="63"/>
      <c r="P22" s="63"/>
      <c r="Q22" s="63"/>
      <c r="R22" s="63"/>
      <c r="S22" s="251"/>
      <c r="T22" s="247">
        <f t="shared" si="1"/>
        <v>0</v>
      </c>
      <c r="U22" s="93">
        <f t="shared" si="0"/>
        <v>0</v>
      </c>
      <c r="V22" s="203" t="s">
        <v>7</v>
      </c>
      <c r="W22" s="106"/>
    </row>
    <row r="23" spans="1:23" ht="15.75" x14ac:dyDescent="0.25">
      <c r="A23" s="96"/>
      <c r="B23" s="97"/>
      <c r="C23" s="97"/>
      <c r="D23" s="97"/>
      <c r="E23" s="97"/>
      <c r="F23" s="104"/>
      <c r="G23" s="98"/>
      <c r="H23" s="99"/>
      <c r="I23" s="214"/>
      <c r="J23" s="63"/>
      <c r="K23" s="63"/>
      <c r="L23" s="63"/>
      <c r="M23" s="63"/>
      <c r="N23" s="63"/>
      <c r="O23" s="63"/>
      <c r="P23" s="63"/>
      <c r="Q23" s="63"/>
      <c r="R23" s="63"/>
      <c r="S23" s="251"/>
      <c r="T23" s="247">
        <f t="shared" si="1"/>
        <v>0</v>
      </c>
      <c r="U23" s="93">
        <f t="shared" si="0"/>
        <v>0</v>
      </c>
      <c r="V23" s="203" t="s">
        <v>8</v>
      </c>
      <c r="W23" s="354"/>
    </row>
    <row r="24" spans="1:23" ht="15.75" x14ac:dyDescent="0.25">
      <c r="A24" s="96"/>
      <c r="B24" s="97"/>
      <c r="C24" s="97"/>
      <c r="D24" s="97"/>
      <c r="E24" s="97"/>
      <c r="F24" s="104"/>
      <c r="G24" s="98"/>
      <c r="H24" s="99"/>
      <c r="I24" s="214"/>
      <c r="J24" s="63"/>
      <c r="K24" s="63"/>
      <c r="L24" s="63"/>
      <c r="M24" s="63"/>
      <c r="N24" s="63"/>
      <c r="O24" s="63"/>
      <c r="P24" s="63"/>
      <c r="Q24" s="63"/>
      <c r="R24" s="63"/>
      <c r="S24" s="251"/>
      <c r="T24" s="247">
        <f t="shared" si="1"/>
        <v>0</v>
      </c>
      <c r="U24" s="93">
        <f t="shared" si="0"/>
        <v>0</v>
      </c>
      <c r="V24" s="203" t="s">
        <v>77</v>
      </c>
      <c r="W24" s="354" t="s">
        <v>198</v>
      </c>
    </row>
    <row r="25" spans="1:23" ht="15.75" x14ac:dyDescent="0.25">
      <c r="A25" s="96"/>
      <c r="B25" s="97"/>
      <c r="C25" s="97"/>
      <c r="D25" s="97"/>
      <c r="E25" s="97"/>
      <c r="F25" s="104"/>
      <c r="G25" s="98"/>
      <c r="H25" s="99"/>
      <c r="I25" s="214"/>
      <c r="J25" s="63"/>
      <c r="K25" s="63"/>
      <c r="L25" s="63"/>
      <c r="M25" s="63"/>
      <c r="N25" s="63"/>
      <c r="O25" s="63"/>
      <c r="P25" s="63"/>
      <c r="Q25" s="63"/>
      <c r="R25" s="63"/>
      <c r="S25" s="251"/>
      <c r="T25" s="247">
        <f t="shared" si="1"/>
        <v>0</v>
      </c>
      <c r="U25" s="93">
        <f t="shared" si="0"/>
        <v>0</v>
      </c>
      <c r="V25" s="203" t="s">
        <v>19</v>
      </c>
      <c r="W25" s="354" t="s">
        <v>370</v>
      </c>
    </row>
    <row r="26" spans="1:23" ht="15.75" x14ac:dyDescent="0.25">
      <c r="A26" s="96"/>
      <c r="B26" s="97"/>
      <c r="C26" s="97"/>
      <c r="D26" s="97"/>
      <c r="E26" s="97"/>
      <c r="F26" s="104"/>
      <c r="G26" s="98"/>
      <c r="H26" s="99"/>
      <c r="I26" s="214"/>
      <c r="J26" s="63"/>
      <c r="K26" s="63"/>
      <c r="L26" s="63"/>
      <c r="M26" s="63"/>
      <c r="N26" s="63"/>
      <c r="O26" s="63"/>
      <c r="P26" s="63"/>
      <c r="Q26" s="63"/>
      <c r="R26" s="63"/>
      <c r="S26" s="251"/>
      <c r="T26" s="247">
        <f t="shared" si="1"/>
        <v>0</v>
      </c>
      <c r="U26" s="93">
        <f t="shared" si="0"/>
        <v>0</v>
      </c>
      <c r="V26" s="203" t="s">
        <v>78</v>
      </c>
      <c r="W26" s="354"/>
    </row>
    <row r="27" spans="1:23" ht="15.75" x14ac:dyDescent="0.25">
      <c r="A27" s="96"/>
      <c r="B27" s="97"/>
      <c r="C27" s="97"/>
      <c r="D27" s="97"/>
      <c r="E27" s="97"/>
      <c r="F27" s="104"/>
      <c r="G27" s="98"/>
      <c r="H27" s="99"/>
      <c r="I27" s="214"/>
      <c r="J27" s="63"/>
      <c r="K27" s="63"/>
      <c r="L27" s="63"/>
      <c r="M27" s="63"/>
      <c r="N27" s="63"/>
      <c r="O27" s="63"/>
      <c r="P27" s="63"/>
      <c r="Q27" s="63"/>
      <c r="R27" s="63"/>
      <c r="S27" s="251"/>
      <c r="T27" s="247">
        <f t="shared" si="1"/>
        <v>0</v>
      </c>
      <c r="U27" s="93">
        <f t="shared" si="0"/>
        <v>0</v>
      </c>
      <c r="V27" s="332" t="s">
        <v>170</v>
      </c>
      <c r="W27" s="354"/>
    </row>
    <row r="28" spans="1:23" ht="15.75" x14ac:dyDescent="0.25">
      <c r="A28" s="96"/>
      <c r="B28" s="97"/>
      <c r="C28" s="97"/>
      <c r="D28" s="97"/>
      <c r="E28" s="104"/>
      <c r="F28" s="104"/>
      <c r="G28" s="98"/>
      <c r="H28" s="99"/>
      <c r="I28" s="214"/>
      <c r="J28" s="63"/>
      <c r="K28" s="63"/>
      <c r="L28" s="63"/>
      <c r="M28" s="63"/>
      <c r="N28" s="63"/>
      <c r="O28" s="63"/>
      <c r="P28" s="63"/>
      <c r="Q28" s="63"/>
      <c r="R28" s="63"/>
      <c r="S28" s="251"/>
      <c r="T28" s="247">
        <f t="shared" si="1"/>
        <v>0</v>
      </c>
      <c r="U28" s="93">
        <f t="shared" si="0"/>
        <v>0</v>
      </c>
      <c r="V28" s="203" t="s">
        <v>12</v>
      </c>
      <c r="W28" s="326"/>
    </row>
    <row r="29" spans="1:23" ht="15.75" x14ac:dyDescent="0.25">
      <c r="A29" s="96"/>
      <c r="B29" s="97"/>
      <c r="C29" s="97"/>
      <c r="D29" s="97"/>
      <c r="E29" s="104"/>
      <c r="F29" s="104"/>
      <c r="G29" s="98"/>
      <c r="H29" s="99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251"/>
      <c r="T29" s="247">
        <f t="shared" si="1"/>
        <v>0</v>
      </c>
      <c r="U29" s="93">
        <f t="shared" si="0"/>
        <v>0</v>
      </c>
      <c r="V29" s="204" t="s">
        <v>164</v>
      </c>
      <c r="W29" s="354"/>
    </row>
    <row r="30" spans="1:23" ht="15.75" x14ac:dyDescent="0.25">
      <c r="A30" s="96"/>
      <c r="B30" s="97"/>
      <c r="C30" s="97"/>
      <c r="D30" s="97"/>
      <c r="E30" s="104"/>
      <c r="F30" s="104"/>
      <c r="G30" s="98"/>
      <c r="H30" s="99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251"/>
      <c r="T30" s="247">
        <f t="shared" si="1"/>
        <v>0</v>
      </c>
      <c r="U30" s="93">
        <f t="shared" si="0"/>
        <v>0</v>
      </c>
      <c r="V30" s="204" t="s">
        <v>92</v>
      </c>
      <c r="W30" s="326"/>
    </row>
    <row r="31" spans="1:23" ht="16.5" thickBot="1" x14ac:dyDescent="0.3">
      <c r="A31" s="96"/>
      <c r="B31" s="97"/>
      <c r="C31" s="97"/>
      <c r="D31" s="97"/>
      <c r="E31" s="104"/>
      <c r="F31" s="104"/>
      <c r="G31" s="98"/>
      <c r="H31" s="107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254"/>
      <c r="T31" s="248">
        <f t="shared" si="1"/>
        <v>0</v>
      </c>
      <c r="U31" s="299">
        <f t="shared" si="0"/>
        <v>0</v>
      </c>
      <c r="V31" s="357" t="s">
        <v>9</v>
      </c>
      <c r="W31" s="326"/>
    </row>
    <row r="32" spans="1:23" ht="16.5" thickBot="1" x14ac:dyDescent="0.3">
      <c r="A32" s="96"/>
      <c r="B32" s="97"/>
      <c r="C32" s="97"/>
      <c r="D32" s="97"/>
      <c r="E32" s="104"/>
      <c r="F32" s="104"/>
      <c r="G32" s="98"/>
      <c r="H32" s="82"/>
      <c r="I32" s="83"/>
      <c r="J32" s="240"/>
      <c r="K32" s="83"/>
      <c r="L32" s="83"/>
      <c r="M32" s="83"/>
      <c r="N32" s="83"/>
      <c r="O32" s="83"/>
      <c r="P32" s="83"/>
      <c r="Q32" s="83"/>
      <c r="R32" s="83"/>
      <c r="S32" s="83"/>
      <c r="T32" s="246"/>
      <c r="U32" s="246"/>
      <c r="V32" s="208" t="s">
        <v>153</v>
      </c>
      <c r="W32" s="354"/>
    </row>
    <row r="33" spans="1:23" ht="15.75" x14ac:dyDescent="0.25">
      <c r="A33" s="96"/>
      <c r="B33" s="97"/>
      <c r="C33" s="97"/>
      <c r="D33" s="97"/>
      <c r="E33" s="104"/>
      <c r="F33" s="104"/>
      <c r="G33" s="109"/>
      <c r="H33" s="90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250"/>
      <c r="T33" s="249">
        <f t="shared" ref="T33:T34" si="2">SUM(H33,J33,L33,N33,P33,R33,S33)</f>
        <v>0</v>
      </c>
      <c r="U33" s="183">
        <f t="shared" si="0"/>
        <v>0</v>
      </c>
      <c r="V33" s="202" t="s">
        <v>89</v>
      </c>
      <c r="W33" s="354"/>
    </row>
    <row r="34" spans="1:23" ht="15.75" x14ac:dyDescent="0.25">
      <c r="A34" s="96"/>
      <c r="B34" s="97"/>
      <c r="C34" s="97"/>
      <c r="D34" s="97"/>
      <c r="E34" s="104"/>
      <c r="F34" s="104"/>
      <c r="G34" s="109"/>
      <c r="H34" s="99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251"/>
      <c r="T34" s="247">
        <f t="shared" si="2"/>
        <v>0</v>
      </c>
      <c r="U34" s="183">
        <f t="shared" si="0"/>
        <v>0</v>
      </c>
      <c r="V34" s="203" t="s">
        <v>83</v>
      </c>
      <c r="W34" s="354"/>
    </row>
    <row r="35" spans="1:23" x14ac:dyDescent="0.25">
      <c r="A35" s="96"/>
      <c r="B35" s="97"/>
      <c r="C35" s="97"/>
      <c r="D35" s="97"/>
      <c r="E35" s="104"/>
      <c r="F35" s="104"/>
      <c r="G35" s="109"/>
      <c r="H35" s="99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251"/>
      <c r="T35" s="247">
        <v>0</v>
      </c>
      <c r="U35" s="183">
        <f t="shared" si="0"/>
        <v>0</v>
      </c>
      <c r="V35" s="355" t="s">
        <v>167</v>
      </c>
      <c r="W35" s="326"/>
    </row>
    <row r="36" spans="1:23" ht="15.75" x14ac:dyDescent="0.25">
      <c r="A36" s="96"/>
      <c r="B36" s="97"/>
      <c r="C36" s="97"/>
      <c r="D36" s="97"/>
      <c r="E36" s="104"/>
      <c r="F36" s="104"/>
      <c r="G36" s="109"/>
      <c r="H36" s="99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251"/>
      <c r="T36" s="247">
        <f t="shared" ref="T36:T41" si="3">SUM(H36,J36,L36,N36,P36,R36,S36)</f>
        <v>0</v>
      </c>
      <c r="U36" s="183">
        <f t="shared" si="0"/>
        <v>0</v>
      </c>
      <c r="V36" s="203" t="s">
        <v>71</v>
      </c>
      <c r="W36" s="326"/>
    </row>
    <row r="37" spans="1:23" ht="15.75" x14ac:dyDescent="0.25">
      <c r="A37" s="96"/>
      <c r="B37" s="97"/>
      <c r="C37" s="97"/>
      <c r="D37" s="97"/>
      <c r="E37" s="104"/>
      <c r="F37" s="104"/>
      <c r="G37" s="109"/>
      <c r="H37" s="99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251"/>
      <c r="T37" s="247">
        <f t="shared" si="3"/>
        <v>0</v>
      </c>
      <c r="U37" s="183">
        <f t="shared" si="0"/>
        <v>0</v>
      </c>
      <c r="V37" s="204" t="s">
        <v>15</v>
      </c>
      <c r="W37" s="326"/>
    </row>
    <row r="38" spans="1:23" ht="15.75" x14ac:dyDescent="0.25">
      <c r="A38" s="96"/>
      <c r="B38" s="97"/>
      <c r="C38" s="97"/>
      <c r="D38" s="97"/>
      <c r="E38" s="104"/>
      <c r="F38" s="104"/>
      <c r="G38" s="109"/>
      <c r="H38" s="99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251"/>
      <c r="T38" s="247">
        <f t="shared" si="3"/>
        <v>0</v>
      </c>
      <c r="U38" s="183">
        <f t="shared" si="0"/>
        <v>0</v>
      </c>
      <c r="V38" s="204" t="s">
        <v>26</v>
      </c>
      <c r="W38" s="326"/>
    </row>
    <row r="39" spans="1:23" ht="15.75" x14ac:dyDescent="0.25">
      <c r="A39" s="96"/>
      <c r="B39" s="97"/>
      <c r="C39" s="97"/>
      <c r="D39" s="97"/>
      <c r="E39" s="104"/>
      <c r="F39" s="104"/>
      <c r="G39" s="109"/>
      <c r="H39" s="107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254"/>
      <c r="T39" s="247">
        <f t="shared" si="3"/>
        <v>0</v>
      </c>
      <c r="U39" s="183">
        <f t="shared" si="0"/>
        <v>0</v>
      </c>
      <c r="V39" s="207" t="s">
        <v>85</v>
      </c>
      <c r="W39" s="356"/>
    </row>
    <row r="40" spans="1:23" ht="15.75" x14ac:dyDescent="0.25">
      <c r="A40" s="96"/>
      <c r="B40" s="97"/>
      <c r="C40" s="97"/>
      <c r="D40" s="97"/>
      <c r="E40" s="104"/>
      <c r="F40" s="104"/>
      <c r="G40" s="109"/>
      <c r="H40" s="107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254"/>
      <c r="T40" s="247">
        <f t="shared" si="3"/>
        <v>0</v>
      </c>
      <c r="U40" s="183">
        <f t="shared" si="0"/>
        <v>0</v>
      </c>
      <c r="V40" s="203" t="s">
        <v>11</v>
      </c>
      <c r="W40" s="326"/>
    </row>
    <row r="41" spans="1:23" ht="16.5" thickBot="1" x14ac:dyDescent="0.3">
      <c r="A41" s="117"/>
      <c r="B41" s="118"/>
      <c r="C41" s="118"/>
      <c r="D41" s="118"/>
      <c r="E41" s="119"/>
      <c r="F41" s="119"/>
      <c r="G41" s="120"/>
      <c r="H41" s="107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254"/>
      <c r="T41" s="247">
        <f t="shared" si="3"/>
        <v>0</v>
      </c>
      <c r="U41" s="299">
        <f t="shared" si="0"/>
        <v>0</v>
      </c>
      <c r="V41" s="205" t="s">
        <v>148</v>
      </c>
      <c r="W41" s="352"/>
    </row>
    <row r="42" spans="1:23" ht="15.75" thickBot="1" x14ac:dyDescent="0.3">
      <c r="A42" s="122"/>
      <c r="B42" s="122"/>
      <c r="C42" s="122"/>
      <c r="D42" s="122"/>
      <c r="E42" s="122"/>
      <c r="F42" s="122"/>
      <c r="G42" s="47" t="s">
        <v>4</v>
      </c>
      <c r="H42" s="123">
        <f t="shared" ref="H42:S42" si="4">SUM(H3:H41)</f>
        <v>13</v>
      </c>
      <c r="I42" s="123">
        <f t="shared" si="4"/>
        <v>0</v>
      </c>
      <c r="J42" s="123">
        <f t="shared" si="4"/>
        <v>0</v>
      </c>
      <c r="K42" s="123">
        <f t="shared" si="4"/>
        <v>0</v>
      </c>
      <c r="L42" s="123">
        <f t="shared" si="4"/>
        <v>0</v>
      </c>
      <c r="M42" s="123">
        <f t="shared" si="4"/>
        <v>0</v>
      </c>
      <c r="N42" s="123">
        <f t="shared" si="4"/>
        <v>0</v>
      </c>
      <c r="O42" s="123">
        <f t="shared" si="4"/>
        <v>0</v>
      </c>
      <c r="P42" s="123">
        <f t="shared" si="4"/>
        <v>0</v>
      </c>
      <c r="Q42" s="123">
        <f t="shared" si="4"/>
        <v>0</v>
      </c>
      <c r="R42" s="123">
        <f t="shared" si="4"/>
        <v>0</v>
      </c>
      <c r="S42" s="123">
        <f t="shared" si="4"/>
        <v>4</v>
      </c>
      <c r="T42" s="198">
        <f>SUM(H42,J42,L42,N42,P42,R42,S42)</f>
        <v>17</v>
      </c>
      <c r="U42" s="333">
        <f t="shared" si="0"/>
        <v>0.11333333333333333</v>
      </c>
      <c r="V42" s="40"/>
    </row>
    <row r="44" spans="1:23" ht="15.75" thickBot="1" x14ac:dyDescent="0.3"/>
    <row r="45" spans="1:23" ht="75.75" thickBot="1" x14ac:dyDescent="0.3">
      <c r="A45" s="42" t="s">
        <v>22</v>
      </c>
      <c r="B45" s="42" t="s">
        <v>47</v>
      </c>
      <c r="C45" s="43" t="s">
        <v>52</v>
      </c>
      <c r="D45" s="43" t="s">
        <v>17</v>
      </c>
      <c r="E45" s="42" t="s">
        <v>16</v>
      </c>
      <c r="F45" s="44" t="s">
        <v>1</v>
      </c>
      <c r="G45" s="45" t="s">
        <v>23</v>
      </c>
      <c r="H45" s="46" t="s">
        <v>72</v>
      </c>
      <c r="I45" s="46" t="s">
        <v>73</v>
      </c>
      <c r="J45" s="46" t="s">
        <v>53</v>
      </c>
      <c r="K45" s="46" t="s">
        <v>58</v>
      </c>
      <c r="L45" s="46" t="s">
        <v>54</v>
      </c>
      <c r="M45" s="46" t="s">
        <v>59</v>
      </c>
      <c r="N45" s="46" t="s">
        <v>55</v>
      </c>
      <c r="O45" s="46" t="s">
        <v>60</v>
      </c>
      <c r="P45" s="46" t="s">
        <v>56</v>
      </c>
      <c r="Q45" s="46" t="s">
        <v>74</v>
      </c>
      <c r="R45" s="46" t="s">
        <v>115</v>
      </c>
      <c r="S45" s="46" t="s">
        <v>41</v>
      </c>
      <c r="T45" s="46" t="s">
        <v>4</v>
      </c>
      <c r="U45" s="42" t="s">
        <v>2</v>
      </c>
      <c r="V45" s="80" t="s">
        <v>20</v>
      </c>
      <c r="W45" s="81" t="s">
        <v>6</v>
      </c>
    </row>
    <row r="46" spans="1:23" ht="15.75" thickBot="1" x14ac:dyDescent="0.3">
      <c r="A46" s="316">
        <v>1517597</v>
      </c>
      <c r="B46" s="209" t="s">
        <v>194</v>
      </c>
      <c r="C46" s="316">
        <v>1248</v>
      </c>
      <c r="D46" s="316">
        <v>1317</v>
      </c>
      <c r="E46" s="321">
        <v>1209</v>
      </c>
      <c r="F46" s="322">
        <f>E46/D46</f>
        <v>0.91799544419134393</v>
      </c>
      <c r="G46" s="48">
        <v>45352</v>
      </c>
      <c r="H46" s="82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4"/>
      <c r="T46" s="296"/>
      <c r="U46" s="115"/>
      <c r="V46" s="86" t="s">
        <v>75</v>
      </c>
      <c r="W46" s="353" t="s">
        <v>70</v>
      </c>
    </row>
    <row r="47" spans="1:23" ht="15.75" x14ac:dyDescent="0.25">
      <c r="A47" s="87"/>
      <c r="B47" s="88"/>
      <c r="C47" s="88"/>
      <c r="D47" s="88"/>
      <c r="E47" s="88"/>
      <c r="F47" s="88"/>
      <c r="G47" s="89"/>
      <c r="H47" s="90">
        <v>4</v>
      </c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250">
        <v>7</v>
      </c>
      <c r="T47" s="249">
        <f>SUM(H47,J47,L47,N47,P47,R47,S47)</f>
        <v>11</v>
      </c>
      <c r="U47" s="349">
        <f>($T47)/$D$46</f>
        <v>8.3523158694001516E-3</v>
      </c>
      <c r="V47" s="202" t="s">
        <v>15</v>
      </c>
      <c r="W47" s="210"/>
    </row>
    <row r="48" spans="1:23" ht="15.75" x14ac:dyDescent="0.25">
      <c r="A48" s="96"/>
      <c r="B48" s="97"/>
      <c r="C48" s="97"/>
      <c r="D48" s="97"/>
      <c r="E48" s="97"/>
      <c r="F48" s="97"/>
      <c r="G48" s="98"/>
      <c r="H48" s="348">
        <v>3</v>
      </c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253">
        <v>3</v>
      </c>
      <c r="T48" s="249">
        <f>SUM(H48,J48,L48,N48,P48,R48,S48)</f>
        <v>6</v>
      </c>
      <c r="U48" s="299">
        <f>($T48)/$D$46</f>
        <v>4.5558086560364463E-3</v>
      </c>
      <c r="V48" s="206" t="s">
        <v>43</v>
      </c>
      <c r="W48" s="210"/>
    </row>
    <row r="49" spans="1:23" ht="15.75" x14ac:dyDescent="0.25">
      <c r="A49" s="96"/>
      <c r="B49" s="97"/>
      <c r="C49" s="97"/>
      <c r="D49" s="97"/>
      <c r="E49" s="97"/>
      <c r="F49" s="97"/>
      <c r="G49" s="98"/>
      <c r="H49" s="99">
        <v>29</v>
      </c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251"/>
      <c r="T49" s="247">
        <f t="shared" ref="T49:T75" si="5">SUM(H49,J49,L49,N49,P49,R49,S49)</f>
        <v>29</v>
      </c>
      <c r="U49" s="299">
        <f t="shared" ref="U49:U61" si="6">($T49)/$D$46</f>
        <v>2.2019741837509491E-2</v>
      </c>
      <c r="V49" s="203" t="s">
        <v>5</v>
      </c>
      <c r="W49" s="351"/>
    </row>
    <row r="50" spans="1:23" ht="15.75" x14ac:dyDescent="0.25">
      <c r="A50" s="96"/>
      <c r="B50" s="97"/>
      <c r="C50" s="97"/>
      <c r="D50" s="97"/>
      <c r="E50" s="104"/>
      <c r="F50" s="104"/>
      <c r="G50" s="98"/>
      <c r="H50" s="99">
        <v>5</v>
      </c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251">
        <v>1</v>
      </c>
      <c r="T50" s="247">
        <f t="shared" si="5"/>
        <v>6</v>
      </c>
      <c r="U50" s="299">
        <f t="shared" si="6"/>
        <v>4.5558086560364463E-3</v>
      </c>
      <c r="V50" s="203" t="s">
        <v>13</v>
      </c>
      <c r="W50" s="244"/>
    </row>
    <row r="51" spans="1:23" ht="15.75" x14ac:dyDescent="0.25">
      <c r="A51" s="96"/>
      <c r="B51" s="97"/>
      <c r="C51" s="97"/>
      <c r="D51" s="97"/>
      <c r="E51" s="104"/>
      <c r="F51" s="104"/>
      <c r="G51" s="98"/>
      <c r="H51" s="99">
        <v>1</v>
      </c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251"/>
      <c r="T51" s="247">
        <f t="shared" si="5"/>
        <v>1</v>
      </c>
      <c r="U51" s="299">
        <f t="shared" si="6"/>
        <v>7.5930144267274111E-4</v>
      </c>
      <c r="V51" s="203" t="s">
        <v>14</v>
      </c>
      <c r="W51" s="311"/>
    </row>
    <row r="52" spans="1:23" ht="15.75" x14ac:dyDescent="0.25">
      <c r="A52" s="96"/>
      <c r="B52" s="97"/>
      <c r="C52" s="97"/>
      <c r="D52" s="97"/>
      <c r="E52" s="104"/>
      <c r="F52" s="104"/>
      <c r="G52" s="98"/>
      <c r="H52" s="99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251">
        <v>2</v>
      </c>
      <c r="T52" s="247">
        <f t="shared" si="5"/>
        <v>2</v>
      </c>
      <c r="U52" s="299">
        <f t="shared" si="6"/>
        <v>1.5186028853454822E-3</v>
      </c>
      <c r="V52" s="203" t="s">
        <v>30</v>
      </c>
      <c r="W52" s="311"/>
    </row>
    <row r="53" spans="1:23" ht="15.75" x14ac:dyDescent="0.25">
      <c r="A53" s="96"/>
      <c r="B53" s="97"/>
      <c r="C53" s="97"/>
      <c r="D53" s="97"/>
      <c r="E53" s="104"/>
      <c r="F53" s="104"/>
      <c r="G53" s="98"/>
      <c r="H53" s="99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251"/>
      <c r="T53" s="247">
        <f t="shared" si="5"/>
        <v>0</v>
      </c>
      <c r="U53" s="299">
        <f t="shared" si="6"/>
        <v>0</v>
      </c>
      <c r="V53" s="203" t="s">
        <v>31</v>
      </c>
      <c r="W53" s="105"/>
    </row>
    <row r="54" spans="1:23" ht="15.75" x14ac:dyDescent="0.25">
      <c r="A54" s="96"/>
      <c r="B54" s="97"/>
      <c r="C54" s="97"/>
      <c r="D54" s="97"/>
      <c r="E54" s="104"/>
      <c r="F54" s="104"/>
      <c r="G54" s="98"/>
      <c r="H54" s="99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251"/>
      <c r="T54" s="247">
        <f t="shared" si="5"/>
        <v>0</v>
      </c>
      <c r="U54" s="299">
        <f t="shared" si="6"/>
        <v>0</v>
      </c>
      <c r="V54" s="203" t="s">
        <v>168</v>
      </c>
      <c r="W54" s="323"/>
    </row>
    <row r="55" spans="1:23" ht="15.75" x14ac:dyDescent="0.25">
      <c r="A55" s="96"/>
      <c r="B55" s="97"/>
      <c r="C55" s="97"/>
      <c r="D55" s="97"/>
      <c r="E55" s="104"/>
      <c r="F55" s="104"/>
      <c r="G55" s="98"/>
      <c r="H55" s="99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251"/>
      <c r="T55" s="247">
        <f t="shared" si="5"/>
        <v>0</v>
      </c>
      <c r="U55" s="299">
        <f t="shared" si="6"/>
        <v>0</v>
      </c>
      <c r="V55" s="204" t="s">
        <v>202</v>
      </c>
      <c r="W55" s="105"/>
    </row>
    <row r="56" spans="1:23" ht="15.75" x14ac:dyDescent="0.25">
      <c r="A56" s="96"/>
      <c r="B56" s="97"/>
      <c r="C56" s="97"/>
      <c r="D56" s="97"/>
      <c r="E56" s="104"/>
      <c r="F56" s="104"/>
      <c r="G56" s="98"/>
      <c r="H56" s="99">
        <v>4</v>
      </c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251"/>
      <c r="T56" s="247">
        <f t="shared" si="5"/>
        <v>4</v>
      </c>
      <c r="U56" s="299">
        <f t="shared" si="6"/>
        <v>3.0372057706909645E-3</v>
      </c>
      <c r="V56" s="203" t="s">
        <v>0</v>
      </c>
      <c r="W56" s="354"/>
    </row>
    <row r="57" spans="1:23" ht="15.75" x14ac:dyDescent="0.25">
      <c r="A57" s="96"/>
      <c r="B57" s="97"/>
      <c r="C57" s="97"/>
      <c r="D57" s="97"/>
      <c r="E57" s="104"/>
      <c r="F57" s="104"/>
      <c r="G57" s="98"/>
      <c r="H57" s="99">
        <v>9</v>
      </c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251">
        <v>4</v>
      </c>
      <c r="T57" s="247">
        <f t="shared" si="5"/>
        <v>13</v>
      </c>
      <c r="U57" s="299">
        <f t="shared" si="6"/>
        <v>9.8709187547456334E-3</v>
      </c>
      <c r="V57" s="203" t="s">
        <v>11</v>
      </c>
      <c r="W57" s="354"/>
    </row>
    <row r="58" spans="1:23" ht="15.75" x14ac:dyDescent="0.25">
      <c r="A58" s="96"/>
      <c r="B58" s="97"/>
      <c r="C58" s="97"/>
      <c r="D58" s="97"/>
      <c r="E58" s="104"/>
      <c r="F58" s="104" t="s">
        <v>100</v>
      </c>
      <c r="G58" s="98"/>
      <c r="H58" s="99">
        <v>8</v>
      </c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251"/>
      <c r="T58" s="247">
        <f t="shared" si="5"/>
        <v>8</v>
      </c>
      <c r="U58" s="299">
        <f t="shared" si="6"/>
        <v>6.0744115413819289E-3</v>
      </c>
      <c r="V58" s="203" t="s">
        <v>33</v>
      </c>
      <c r="W58" s="326"/>
    </row>
    <row r="59" spans="1:23" ht="15.75" x14ac:dyDescent="0.25">
      <c r="A59" s="96"/>
      <c r="B59" s="97"/>
      <c r="C59" s="97"/>
      <c r="D59" s="97"/>
      <c r="E59" s="104"/>
      <c r="F59" s="104"/>
      <c r="G59" s="98"/>
      <c r="H59" s="99"/>
      <c r="I59" s="63"/>
      <c r="J59" s="63">
        <v>4</v>
      </c>
      <c r="K59" s="63"/>
      <c r="L59" s="63"/>
      <c r="M59" s="63"/>
      <c r="N59" s="63"/>
      <c r="O59" s="63"/>
      <c r="P59" s="63"/>
      <c r="Q59" s="63"/>
      <c r="R59" s="63"/>
      <c r="S59" s="251"/>
      <c r="T59" s="247">
        <f t="shared" si="5"/>
        <v>4</v>
      </c>
      <c r="U59" s="299">
        <f t="shared" si="6"/>
        <v>3.0372057706909645E-3</v>
      </c>
      <c r="V59" s="204" t="s">
        <v>27</v>
      </c>
      <c r="W59" s="354"/>
    </row>
    <row r="60" spans="1:23" ht="15.75" x14ac:dyDescent="0.25">
      <c r="A60" s="96"/>
      <c r="B60" s="97"/>
      <c r="C60" s="97"/>
      <c r="D60" s="97"/>
      <c r="E60" s="104"/>
      <c r="F60" s="104"/>
      <c r="G60" s="109"/>
      <c r="H60" s="110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251"/>
      <c r="T60" s="247">
        <f t="shared" si="5"/>
        <v>0</v>
      </c>
      <c r="U60" s="299">
        <f t="shared" si="6"/>
        <v>0</v>
      </c>
      <c r="V60" s="204" t="s">
        <v>26</v>
      </c>
      <c r="W60" s="212"/>
    </row>
    <row r="61" spans="1:23" ht="15.75" x14ac:dyDescent="0.25">
      <c r="A61" s="96"/>
      <c r="B61" s="97"/>
      <c r="C61" s="97"/>
      <c r="D61" s="97"/>
      <c r="E61" s="104"/>
      <c r="F61" s="104"/>
      <c r="G61" s="109"/>
      <c r="H61" s="110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251"/>
      <c r="T61" s="247">
        <f t="shared" si="5"/>
        <v>0</v>
      </c>
      <c r="U61" s="299">
        <f t="shared" si="6"/>
        <v>0</v>
      </c>
      <c r="V61" s="204" t="s">
        <v>236</v>
      </c>
      <c r="W61" s="103"/>
    </row>
    <row r="62" spans="1:23" ht="16.5" thickBot="1" x14ac:dyDescent="0.3">
      <c r="A62" s="96"/>
      <c r="B62" s="97"/>
      <c r="C62" s="97"/>
      <c r="D62" s="97"/>
      <c r="E62" s="104"/>
      <c r="F62" s="104"/>
      <c r="G62" s="109"/>
      <c r="H62" s="186">
        <v>1</v>
      </c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252"/>
      <c r="T62" s="248">
        <f t="shared" si="5"/>
        <v>1</v>
      </c>
      <c r="U62" s="245">
        <f>($T62)/$D$46</f>
        <v>7.5930144267274111E-4</v>
      </c>
      <c r="V62" s="205" t="s">
        <v>71</v>
      </c>
      <c r="W62" s="212"/>
    </row>
    <row r="63" spans="1:23" ht="15.75" x14ac:dyDescent="0.25">
      <c r="A63" s="96"/>
      <c r="B63" s="97"/>
      <c r="C63" s="97"/>
      <c r="D63" s="97"/>
      <c r="E63" s="104"/>
      <c r="F63" s="104"/>
      <c r="G63" s="98"/>
      <c r="H63" s="90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253"/>
      <c r="T63" s="249">
        <f t="shared" si="5"/>
        <v>0</v>
      </c>
      <c r="U63" s="183">
        <f>($T63)/$D$46</f>
        <v>0</v>
      </c>
      <c r="V63" s="206" t="s">
        <v>10</v>
      </c>
      <c r="W63" s="106"/>
    </row>
    <row r="64" spans="1:23" ht="15.75" x14ac:dyDescent="0.25">
      <c r="A64" s="96"/>
      <c r="B64" s="97"/>
      <c r="C64" s="97"/>
      <c r="D64" s="97"/>
      <c r="E64" s="104"/>
      <c r="F64" s="104"/>
      <c r="G64" s="98"/>
      <c r="H64" s="99"/>
      <c r="I64" s="213"/>
      <c r="J64" s="63"/>
      <c r="K64" s="63"/>
      <c r="L64" s="63"/>
      <c r="M64" s="63"/>
      <c r="N64" s="63"/>
      <c r="O64" s="63"/>
      <c r="P64" s="63"/>
      <c r="Q64" s="63"/>
      <c r="R64" s="63"/>
      <c r="S64" s="251"/>
      <c r="T64" s="247">
        <f t="shared" si="5"/>
        <v>0</v>
      </c>
      <c r="U64" s="93">
        <f>($T64)/$D$46</f>
        <v>0</v>
      </c>
      <c r="V64" s="331" t="s">
        <v>94</v>
      </c>
      <c r="W64" s="106"/>
    </row>
    <row r="65" spans="1:23" ht="15.75" x14ac:dyDescent="0.25">
      <c r="A65" s="96"/>
      <c r="B65" s="97"/>
      <c r="C65" s="97"/>
      <c r="D65" s="97"/>
      <c r="E65" s="104"/>
      <c r="F65" s="104"/>
      <c r="G65" s="98"/>
      <c r="H65" s="99"/>
      <c r="I65" s="214">
        <v>3</v>
      </c>
      <c r="J65" s="63"/>
      <c r="K65" s="63"/>
      <c r="L65" s="63"/>
      <c r="M65" s="63"/>
      <c r="N65" s="63"/>
      <c r="O65" s="63"/>
      <c r="P65" s="63"/>
      <c r="Q65" s="63"/>
      <c r="R65" s="63"/>
      <c r="S65" s="251">
        <v>15</v>
      </c>
      <c r="T65" s="247">
        <f t="shared" si="5"/>
        <v>15</v>
      </c>
      <c r="U65" s="93">
        <f t="shared" ref="U65:U74" si="7">($T65)/$D$46</f>
        <v>1.1389521640091117E-2</v>
      </c>
      <c r="V65" s="203" t="s">
        <v>3</v>
      </c>
      <c r="W65" s="105"/>
    </row>
    <row r="66" spans="1:23" ht="15.75" x14ac:dyDescent="0.25">
      <c r="A66" s="96"/>
      <c r="B66" s="97"/>
      <c r="C66" s="97"/>
      <c r="D66" s="97"/>
      <c r="E66" s="97"/>
      <c r="F66" s="104"/>
      <c r="G66" s="98"/>
      <c r="H66" s="99"/>
      <c r="I66" s="214">
        <v>1</v>
      </c>
      <c r="J66" s="63"/>
      <c r="K66" s="63"/>
      <c r="L66" s="63"/>
      <c r="M66" s="63"/>
      <c r="N66" s="63"/>
      <c r="O66" s="63"/>
      <c r="P66" s="63"/>
      <c r="Q66" s="63"/>
      <c r="R66" s="63"/>
      <c r="S66" s="251">
        <v>1</v>
      </c>
      <c r="T66" s="247">
        <f t="shared" si="5"/>
        <v>1</v>
      </c>
      <c r="U66" s="93">
        <f t="shared" si="7"/>
        <v>7.5930144267274111E-4</v>
      </c>
      <c r="V66" s="203" t="s">
        <v>7</v>
      </c>
      <c r="W66" s="106"/>
    </row>
    <row r="67" spans="1:23" ht="15.75" x14ac:dyDescent="0.25">
      <c r="A67" s="96"/>
      <c r="B67" s="97"/>
      <c r="C67" s="97"/>
      <c r="D67" s="97"/>
      <c r="E67" s="97"/>
      <c r="F67" s="104"/>
      <c r="G67" s="98"/>
      <c r="H67" s="99"/>
      <c r="I67" s="214"/>
      <c r="J67" s="63"/>
      <c r="K67" s="63"/>
      <c r="L67" s="63"/>
      <c r="M67" s="63"/>
      <c r="N67" s="63"/>
      <c r="O67" s="63"/>
      <c r="P67" s="63"/>
      <c r="Q67" s="63"/>
      <c r="R67" s="63"/>
      <c r="S67" s="251"/>
      <c r="T67" s="247">
        <f t="shared" si="5"/>
        <v>0</v>
      </c>
      <c r="U67" s="93">
        <f t="shared" si="7"/>
        <v>0</v>
      </c>
      <c r="V67" s="203" t="s">
        <v>8</v>
      </c>
      <c r="W67" s="354"/>
    </row>
    <row r="68" spans="1:23" ht="15.75" x14ac:dyDescent="0.25">
      <c r="A68" s="96"/>
      <c r="B68" s="97"/>
      <c r="C68" s="97"/>
      <c r="D68" s="97"/>
      <c r="E68" s="97"/>
      <c r="F68" s="104"/>
      <c r="G68" s="98"/>
      <c r="H68" s="99"/>
      <c r="I68" s="214"/>
      <c r="J68" s="63"/>
      <c r="K68" s="63"/>
      <c r="L68" s="63"/>
      <c r="M68" s="63"/>
      <c r="N68" s="63"/>
      <c r="O68" s="63"/>
      <c r="P68" s="63"/>
      <c r="Q68" s="63"/>
      <c r="R68" s="63"/>
      <c r="S68" s="251"/>
      <c r="T68" s="247">
        <f t="shared" si="5"/>
        <v>0</v>
      </c>
      <c r="U68" s="93">
        <f t="shared" si="7"/>
        <v>0</v>
      </c>
      <c r="V68" s="203" t="s">
        <v>77</v>
      </c>
      <c r="W68" s="354" t="s">
        <v>198</v>
      </c>
    </row>
    <row r="69" spans="1:23" ht="15.75" x14ac:dyDescent="0.25">
      <c r="A69" s="96"/>
      <c r="B69" s="97"/>
      <c r="C69" s="97"/>
      <c r="D69" s="97"/>
      <c r="E69" s="97"/>
      <c r="F69" s="104"/>
      <c r="G69" s="98"/>
      <c r="H69" s="99"/>
      <c r="I69" s="214">
        <v>1</v>
      </c>
      <c r="J69" s="63"/>
      <c r="K69" s="63"/>
      <c r="L69" s="63"/>
      <c r="M69" s="63"/>
      <c r="N69" s="63"/>
      <c r="O69" s="63"/>
      <c r="P69" s="63"/>
      <c r="Q69" s="63"/>
      <c r="R69" s="63"/>
      <c r="S69" s="251"/>
      <c r="T69" s="247">
        <f t="shared" si="5"/>
        <v>0</v>
      </c>
      <c r="U69" s="93">
        <f t="shared" si="7"/>
        <v>0</v>
      </c>
      <c r="V69" s="203" t="s">
        <v>19</v>
      </c>
      <c r="W69" s="354" t="s">
        <v>370</v>
      </c>
    </row>
    <row r="70" spans="1:23" ht="15.75" x14ac:dyDescent="0.25">
      <c r="A70" s="96"/>
      <c r="B70" s="97"/>
      <c r="C70" s="97"/>
      <c r="D70" s="97"/>
      <c r="E70" s="97"/>
      <c r="F70" s="104"/>
      <c r="G70" s="98"/>
      <c r="H70" s="99"/>
      <c r="I70" s="214"/>
      <c r="J70" s="63"/>
      <c r="K70" s="63"/>
      <c r="L70" s="63"/>
      <c r="M70" s="63"/>
      <c r="N70" s="63"/>
      <c r="O70" s="63"/>
      <c r="P70" s="63"/>
      <c r="Q70" s="63"/>
      <c r="R70" s="63"/>
      <c r="S70" s="251"/>
      <c r="T70" s="247">
        <f t="shared" si="5"/>
        <v>0</v>
      </c>
      <c r="U70" s="93">
        <f t="shared" si="7"/>
        <v>0</v>
      </c>
      <c r="V70" s="203" t="s">
        <v>78</v>
      </c>
      <c r="W70" s="354"/>
    </row>
    <row r="71" spans="1:23" ht="15.75" x14ac:dyDescent="0.25">
      <c r="A71" s="96"/>
      <c r="B71" s="97"/>
      <c r="C71" s="97"/>
      <c r="D71" s="97"/>
      <c r="E71" s="97"/>
      <c r="F71" s="104"/>
      <c r="G71" s="98"/>
      <c r="H71" s="99"/>
      <c r="I71" s="214"/>
      <c r="J71" s="63"/>
      <c r="K71" s="63"/>
      <c r="L71" s="63"/>
      <c r="M71" s="63"/>
      <c r="N71" s="63"/>
      <c r="O71" s="63"/>
      <c r="P71" s="63"/>
      <c r="Q71" s="63"/>
      <c r="R71" s="63"/>
      <c r="S71" s="251"/>
      <c r="T71" s="247">
        <f t="shared" si="5"/>
        <v>0</v>
      </c>
      <c r="U71" s="93">
        <f t="shared" si="7"/>
        <v>0</v>
      </c>
      <c r="V71" s="332" t="s">
        <v>170</v>
      </c>
      <c r="W71" s="354"/>
    </row>
    <row r="72" spans="1:23" ht="15.75" x14ac:dyDescent="0.25">
      <c r="A72" s="96"/>
      <c r="B72" s="97"/>
      <c r="C72" s="97"/>
      <c r="D72" s="97"/>
      <c r="E72" s="104"/>
      <c r="F72" s="104"/>
      <c r="G72" s="98"/>
      <c r="H72" s="99"/>
      <c r="I72" s="214">
        <v>8</v>
      </c>
      <c r="J72" s="63"/>
      <c r="K72" s="63"/>
      <c r="L72" s="63"/>
      <c r="M72" s="63"/>
      <c r="N72" s="63"/>
      <c r="O72" s="63"/>
      <c r="P72" s="63"/>
      <c r="Q72" s="63"/>
      <c r="R72" s="63"/>
      <c r="S72" s="251">
        <v>2</v>
      </c>
      <c r="T72" s="247">
        <f t="shared" si="5"/>
        <v>2</v>
      </c>
      <c r="U72" s="93">
        <f t="shared" si="7"/>
        <v>1.5186028853454822E-3</v>
      </c>
      <c r="V72" s="203" t="s">
        <v>12</v>
      </c>
      <c r="W72" s="326"/>
    </row>
    <row r="73" spans="1:23" ht="15.75" x14ac:dyDescent="0.25">
      <c r="A73" s="96"/>
      <c r="B73" s="97"/>
      <c r="C73" s="97"/>
      <c r="D73" s="97"/>
      <c r="E73" s="104"/>
      <c r="F73" s="104"/>
      <c r="G73" s="98"/>
      <c r="H73" s="99"/>
      <c r="I73" s="63">
        <v>1</v>
      </c>
      <c r="J73" s="63"/>
      <c r="K73" s="63"/>
      <c r="L73" s="63"/>
      <c r="M73" s="63"/>
      <c r="N73" s="63"/>
      <c r="O73" s="63"/>
      <c r="P73" s="63"/>
      <c r="Q73" s="63"/>
      <c r="R73" s="63"/>
      <c r="S73" s="251"/>
      <c r="T73" s="247">
        <f t="shared" si="5"/>
        <v>0</v>
      </c>
      <c r="U73" s="93">
        <f t="shared" si="7"/>
        <v>0</v>
      </c>
      <c r="V73" s="204" t="s">
        <v>164</v>
      </c>
      <c r="W73" s="354"/>
    </row>
    <row r="74" spans="1:23" ht="15.75" x14ac:dyDescent="0.25">
      <c r="A74" s="96"/>
      <c r="B74" s="97"/>
      <c r="C74" s="97"/>
      <c r="D74" s="97"/>
      <c r="E74" s="104"/>
      <c r="F74" s="104"/>
      <c r="G74" s="98"/>
      <c r="H74" s="99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251"/>
      <c r="T74" s="247">
        <f t="shared" si="5"/>
        <v>0</v>
      </c>
      <c r="U74" s="93">
        <f t="shared" si="7"/>
        <v>0</v>
      </c>
      <c r="V74" s="204" t="s">
        <v>92</v>
      </c>
      <c r="W74" s="326"/>
    </row>
    <row r="75" spans="1:23" ht="16.5" thickBot="1" x14ac:dyDescent="0.3">
      <c r="A75" s="96"/>
      <c r="B75" s="97"/>
      <c r="C75" s="97"/>
      <c r="D75" s="97"/>
      <c r="E75" s="104"/>
      <c r="F75" s="104"/>
      <c r="G75" s="98"/>
      <c r="H75" s="107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254"/>
      <c r="T75" s="248">
        <f t="shared" si="5"/>
        <v>0</v>
      </c>
      <c r="U75" s="299">
        <f>($T75)/$D$46</f>
        <v>0</v>
      </c>
      <c r="V75" s="357" t="s">
        <v>9</v>
      </c>
      <c r="W75" s="326"/>
    </row>
    <row r="76" spans="1:23" ht="16.5" thickBot="1" x14ac:dyDescent="0.3">
      <c r="A76" s="96"/>
      <c r="B76" s="97"/>
      <c r="C76" s="97"/>
      <c r="D76" s="97"/>
      <c r="E76" s="104"/>
      <c r="F76" s="104"/>
      <c r="G76" s="98"/>
      <c r="H76" s="82"/>
      <c r="I76" s="83"/>
      <c r="J76" s="240"/>
      <c r="K76" s="83"/>
      <c r="L76" s="83"/>
      <c r="M76" s="83"/>
      <c r="N76" s="83"/>
      <c r="O76" s="83"/>
      <c r="P76" s="83"/>
      <c r="Q76" s="83"/>
      <c r="R76" s="83"/>
      <c r="S76" s="83"/>
      <c r="T76" s="246"/>
      <c r="U76" s="246"/>
      <c r="V76" s="208" t="s">
        <v>153</v>
      </c>
      <c r="W76" s="354" t="s">
        <v>288</v>
      </c>
    </row>
    <row r="77" spans="1:23" ht="15.75" x14ac:dyDescent="0.25">
      <c r="A77" s="96"/>
      <c r="B77" s="97"/>
      <c r="C77" s="97"/>
      <c r="D77" s="97"/>
      <c r="E77" s="104"/>
      <c r="F77" s="104"/>
      <c r="G77" s="109"/>
      <c r="H77" s="90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250"/>
      <c r="T77" s="249">
        <f t="shared" ref="T77:T78" si="8">SUM(H77,J77,L77,N77,P77,R77,S77)</f>
        <v>0</v>
      </c>
      <c r="U77" s="183">
        <f>($T77)/$D$46</f>
        <v>0</v>
      </c>
      <c r="V77" s="202" t="s">
        <v>89</v>
      </c>
      <c r="W77" s="354" t="s">
        <v>320</v>
      </c>
    </row>
    <row r="78" spans="1:23" ht="15.75" x14ac:dyDescent="0.25">
      <c r="A78" s="96"/>
      <c r="B78" s="97"/>
      <c r="C78" s="97"/>
      <c r="D78" s="97"/>
      <c r="E78" s="104"/>
      <c r="F78" s="104"/>
      <c r="G78" s="109"/>
      <c r="H78" s="99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251"/>
      <c r="T78" s="247">
        <f t="shared" si="8"/>
        <v>0</v>
      </c>
      <c r="U78" s="183">
        <f>($T78)/$D$46</f>
        <v>0</v>
      </c>
      <c r="V78" s="203" t="s">
        <v>83</v>
      </c>
      <c r="W78" s="354" t="s">
        <v>204</v>
      </c>
    </row>
    <row r="79" spans="1:23" x14ac:dyDescent="0.25">
      <c r="A79" s="96"/>
      <c r="B79" s="97"/>
      <c r="C79" s="97"/>
      <c r="D79" s="97"/>
      <c r="E79" s="104"/>
      <c r="F79" s="104"/>
      <c r="G79" s="109"/>
      <c r="H79" s="99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251"/>
      <c r="T79" s="247">
        <v>0</v>
      </c>
      <c r="U79" s="183">
        <f t="shared" ref="U79:U84" si="9">($T79)/$D$46</f>
        <v>0</v>
      </c>
      <c r="V79" s="355" t="s">
        <v>167</v>
      </c>
      <c r="W79" s="326" t="s">
        <v>371</v>
      </c>
    </row>
    <row r="80" spans="1:23" ht="15.75" x14ac:dyDescent="0.25">
      <c r="A80" s="96"/>
      <c r="B80" s="97"/>
      <c r="C80" s="97"/>
      <c r="D80" s="97"/>
      <c r="E80" s="104"/>
      <c r="F80" s="104"/>
      <c r="G80" s="109"/>
      <c r="H80" s="99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251"/>
      <c r="T80" s="247">
        <f t="shared" ref="T80:T85" si="10">SUM(H80,J80,L80,N80,P80,R80,S80)</f>
        <v>0</v>
      </c>
      <c r="U80" s="183">
        <f t="shared" si="9"/>
        <v>0</v>
      </c>
      <c r="V80" s="203" t="s">
        <v>71</v>
      </c>
      <c r="W80" s="326" t="s">
        <v>264</v>
      </c>
    </row>
    <row r="81" spans="1:23" ht="15.75" x14ac:dyDescent="0.25">
      <c r="A81" s="96"/>
      <c r="B81" s="97"/>
      <c r="C81" s="97"/>
      <c r="D81" s="97"/>
      <c r="E81" s="104"/>
      <c r="F81" s="104"/>
      <c r="G81" s="109"/>
      <c r="H81" s="99">
        <v>2</v>
      </c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251"/>
      <c r="T81" s="247">
        <f t="shared" si="10"/>
        <v>2</v>
      </c>
      <c r="U81" s="183">
        <f t="shared" si="9"/>
        <v>1.5186028853454822E-3</v>
      </c>
      <c r="V81" s="204" t="s">
        <v>15</v>
      </c>
      <c r="W81" s="326" t="s">
        <v>372</v>
      </c>
    </row>
    <row r="82" spans="1:23" ht="15.75" x14ac:dyDescent="0.25">
      <c r="A82" s="96"/>
      <c r="B82" s="97"/>
      <c r="C82" s="97"/>
      <c r="D82" s="97"/>
      <c r="E82" s="104"/>
      <c r="F82" s="104"/>
      <c r="G82" s="109"/>
      <c r="H82" s="99">
        <v>3</v>
      </c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251"/>
      <c r="T82" s="247">
        <f t="shared" si="10"/>
        <v>3</v>
      </c>
      <c r="U82" s="183">
        <f t="shared" si="9"/>
        <v>2.2779043280182231E-3</v>
      </c>
      <c r="V82" s="204" t="s">
        <v>26</v>
      </c>
      <c r="W82" s="326"/>
    </row>
    <row r="83" spans="1:23" ht="15.75" x14ac:dyDescent="0.25">
      <c r="A83" s="96"/>
      <c r="B83" s="97"/>
      <c r="C83" s="97"/>
      <c r="D83" s="97"/>
      <c r="E83" s="104"/>
      <c r="F83" s="104"/>
      <c r="G83" s="109"/>
      <c r="H83" s="107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254"/>
      <c r="T83" s="247">
        <f t="shared" si="10"/>
        <v>0</v>
      </c>
      <c r="U83" s="183">
        <f t="shared" si="9"/>
        <v>0</v>
      </c>
      <c r="V83" s="207" t="s">
        <v>85</v>
      </c>
      <c r="W83" s="356"/>
    </row>
    <row r="84" spans="1:23" ht="15.75" x14ac:dyDescent="0.25">
      <c r="A84" s="96"/>
      <c r="B84" s="97"/>
      <c r="C84" s="97"/>
      <c r="D84" s="97"/>
      <c r="E84" s="104"/>
      <c r="F84" s="104"/>
      <c r="G84" s="109"/>
      <c r="H84" s="107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254"/>
      <c r="T84" s="247">
        <f t="shared" si="10"/>
        <v>0</v>
      </c>
      <c r="U84" s="183">
        <f t="shared" si="9"/>
        <v>0</v>
      </c>
      <c r="V84" s="203" t="s">
        <v>11</v>
      </c>
      <c r="W84" s="326"/>
    </row>
    <row r="85" spans="1:23" ht="16.5" thickBot="1" x14ac:dyDescent="0.3">
      <c r="A85" s="117"/>
      <c r="B85" s="118"/>
      <c r="C85" s="118"/>
      <c r="D85" s="118"/>
      <c r="E85" s="119"/>
      <c r="F85" s="119"/>
      <c r="G85" s="120"/>
      <c r="H85" s="107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254"/>
      <c r="T85" s="247">
        <f t="shared" si="10"/>
        <v>0</v>
      </c>
      <c r="U85" s="299">
        <f>($T85)/$D$46</f>
        <v>0</v>
      </c>
      <c r="V85" s="205" t="s">
        <v>148</v>
      </c>
      <c r="W85" s="352"/>
    </row>
    <row r="86" spans="1:23" ht="15.75" thickBot="1" x14ac:dyDescent="0.3">
      <c r="A86" s="122"/>
      <c r="B86" s="122"/>
      <c r="C86" s="122"/>
      <c r="D86" s="122"/>
      <c r="E86" s="122"/>
      <c r="F86" s="122"/>
      <c r="G86" s="47" t="s">
        <v>4</v>
      </c>
      <c r="H86" s="123">
        <f t="shared" ref="H86:S86" si="11">SUM(H47:H85)</f>
        <v>69</v>
      </c>
      <c r="I86" s="123">
        <f t="shared" si="11"/>
        <v>14</v>
      </c>
      <c r="J86" s="123">
        <f t="shared" si="11"/>
        <v>4</v>
      </c>
      <c r="K86" s="123">
        <f t="shared" si="11"/>
        <v>0</v>
      </c>
      <c r="L86" s="123">
        <f t="shared" si="11"/>
        <v>0</v>
      </c>
      <c r="M86" s="123">
        <f t="shared" si="11"/>
        <v>0</v>
      </c>
      <c r="N86" s="123">
        <f t="shared" si="11"/>
        <v>0</v>
      </c>
      <c r="O86" s="123">
        <f t="shared" si="11"/>
        <v>0</v>
      </c>
      <c r="P86" s="123">
        <f t="shared" si="11"/>
        <v>0</v>
      </c>
      <c r="Q86" s="123">
        <f t="shared" si="11"/>
        <v>0</v>
      </c>
      <c r="R86" s="123">
        <f t="shared" si="11"/>
        <v>0</v>
      </c>
      <c r="S86" s="123">
        <f t="shared" si="11"/>
        <v>35</v>
      </c>
      <c r="T86" s="198">
        <f>SUM(H86,J86,L86,N86,P86,R86,S86)</f>
        <v>108</v>
      </c>
      <c r="U86" s="333">
        <f>($T86)/$D$46</f>
        <v>8.2004555808656038E-2</v>
      </c>
      <c r="V86" s="40"/>
    </row>
  </sheetData>
  <conditionalFormatting sqref="U43">
    <cfRule type="cellIs" dxfId="229" priority="21" operator="greaterThan">
      <formula>0.2</formula>
    </cfRule>
  </conditionalFormatting>
  <conditionalFormatting sqref="U47:U75">
    <cfRule type="colorScale" priority="10">
      <colorScale>
        <cfvo type="min"/>
        <cfvo type="max"/>
        <color rgb="FFFCFCFF"/>
        <color rgb="FFF8696B"/>
      </colorScale>
    </cfRule>
  </conditionalFormatting>
  <conditionalFormatting sqref="U47:U75">
    <cfRule type="cellIs" dxfId="228" priority="9" operator="greaterThan">
      <formula>0.2</formula>
    </cfRule>
  </conditionalFormatting>
  <conditionalFormatting sqref="U45:U46">
    <cfRule type="cellIs" dxfId="227" priority="8" operator="greaterThan">
      <formula>0.2</formula>
    </cfRule>
  </conditionalFormatting>
  <conditionalFormatting sqref="U77:U86">
    <cfRule type="cellIs" dxfId="226" priority="6" operator="greaterThan">
      <formula>0.2</formula>
    </cfRule>
  </conditionalFormatting>
  <conditionalFormatting sqref="U77:U86">
    <cfRule type="colorScale" priority="7">
      <colorScale>
        <cfvo type="min"/>
        <cfvo type="max"/>
        <color rgb="FFFCFCFF"/>
        <color rgb="FFF8696B"/>
      </colorScale>
    </cfRule>
  </conditionalFormatting>
  <conditionalFormatting sqref="U3:U31">
    <cfRule type="colorScale" priority="5">
      <colorScale>
        <cfvo type="min"/>
        <cfvo type="max"/>
        <color rgb="FFFCFCFF"/>
        <color rgb="FFF8696B"/>
      </colorScale>
    </cfRule>
  </conditionalFormatting>
  <conditionalFormatting sqref="U3:U31">
    <cfRule type="cellIs" dxfId="225" priority="4" operator="greaterThan">
      <formula>0.2</formula>
    </cfRule>
  </conditionalFormatting>
  <conditionalFormatting sqref="U1:U2">
    <cfRule type="cellIs" dxfId="224" priority="3" operator="greaterThan">
      <formula>0.2</formula>
    </cfRule>
  </conditionalFormatting>
  <conditionalFormatting sqref="U33:U42">
    <cfRule type="cellIs" dxfId="223" priority="1" operator="greaterThan">
      <formula>0.2</formula>
    </cfRule>
  </conditionalFormatting>
  <conditionalFormatting sqref="U33:U42">
    <cfRule type="colorScale" priority="2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3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pageSetUpPr fitToPage="1"/>
  </sheetPr>
  <dimension ref="A1:U34"/>
  <sheetViews>
    <sheetView showGridLines="0" zoomScaleNormal="100" workbookViewId="0">
      <selection activeCell="T16" sqref="T16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31" style="23" bestFit="1" customWidth="1"/>
    <col min="16" max="16" width="10.7109375" style="23" customWidth="1"/>
    <col min="17" max="17" width="10.85546875" style="23" customWidth="1"/>
    <col min="18" max="18" width="10.42578125" style="23" customWidth="1"/>
    <col min="19" max="16384" width="9.140625" style="23"/>
  </cols>
  <sheetData>
    <row r="1" spans="1:21" ht="54" customHeight="1" x14ac:dyDescent="0.25">
      <c r="A1" s="558" t="s">
        <v>293</v>
      </c>
      <c r="B1" s="558"/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  <c r="R1" s="558"/>
    </row>
    <row r="3" spans="1:21" ht="26.25" customHeight="1" x14ac:dyDescent="0.25">
      <c r="O3" s="559" t="s">
        <v>50</v>
      </c>
      <c r="P3" s="560"/>
      <c r="Q3" s="560"/>
      <c r="R3" s="560"/>
    </row>
    <row r="4" spans="1:21" x14ac:dyDescent="0.25">
      <c r="O4" s="561" t="s">
        <v>20</v>
      </c>
      <c r="P4" s="562"/>
      <c r="Q4" s="563"/>
      <c r="R4" s="30" t="s">
        <v>24</v>
      </c>
    </row>
    <row r="5" spans="1:21" x14ac:dyDescent="0.25">
      <c r="O5" s="19" t="s">
        <v>13</v>
      </c>
      <c r="P5" s="20"/>
      <c r="Q5" s="21"/>
      <c r="R5" s="255">
        <f>SUMIF('EB214'!$W$3:$W$41,O5,'EB214'!$T$3:$T$41)</f>
        <v>12</v>
      </c>
    </row>
    <row r="6" spans="1:21" x14ac:dyDescent="0.25">
      <c r="O6" s="19" t="s">
        <v>27</v>
      </c>
      <c r="P6" s="20"/>
      <c r="Q6" s="21"/>
      <c r="R6" s="255">
        <f>SUMIF('EB214'!$W$3:$W$41,O6,'EB214'!$T$3:$T$41)</f>
        <v>4</v>
      </c>
    </row>
    <row r="7" spans="1:21" x14ac:dyDescent="0.25">
      <c r="O7" s="19" t="s">
        <v>15</v>
      </c>
      <c r="P7" s="20"/>
      <c r="Q7" s="21"/>
      <c r="R7" s="255">
        <f>SUMIF('EB214'!$W$3:$W$41,O7,'EB214'!$T$3:$T$41)</f>
        <v>2</v>
      </c>
    </row>
    <row r="8" spans="1:21" x14ac:dyDescent="0.25">
      <c r="O8" s="19" t="s">
        <v>11</v>
      </c>
      <c r="P8" s="20"/>
      <c r="Q8" s="21"/>
      <c r="R8" s="255">
        <f>SUMIF('EB214'!$W$3:$W$41,O8,'EB214'!$T$3:$T$41)</f>
        <v>8</v>
      </c>
    </row>
    <row r="9" spans="1:21" x14ac:dyDescent="0.25">
      <c r="O9" s="19" t="s">
        <v>148</v>
      </c>
      <c r="P9" s="20"/>
      <c r="Q9" s="21"/>
      <c r="R9" s="255">
        <f>SUMIF('EB214'!$W$3:$W$41,O9,'EB214'!$T$3:$T$41)</f>
        <v>2</v>
      </c>
    </row>
    <row r="10" spans="1:21" ht="15.75" x14ac:dyDescent="0.25">
      <c r="O10" s="19" t="s">
        <v>12</v>
      </c>
      <c r="P10" s="20"/>
      <c r="Q10" s="21"/>
      <c r="R10" s="255">
        <f>SUMIF('EB214'!$W$3:$W$41,O10,'EB214'!$T$3:$T$41)</f>
        <v>1</v>
      </c>
      <c r="U10" s="125"/>
    </row>
    <row r="11" spans="1:21" x14ac:dyDescent="0.25">
      <c r="O11" s="19" t="s">
        <v>31</v>
      </c>
      <c r="P11" s="20"/>
      <c r="Q11" s="21"/>
      <c r="R11" s="255">
        <f>SUMIF('EB214'!$W$3:$W$41,O11,'EB214'!$T$3:$T$41)</f>
        <v>1</v>
      </c>
    </row>
    <row r="12" spans="1:21" x14ac:dyDescent="0.25">
      <c r="O12" s="19" t="s">
        <v>30</v>
      </c>
      <c r="P12" s="20"/>
      <c r="Q12" s="21"/>
      <c r="R12" s="255">
        <f>SUMIF('EB214'!$W$3:$W$41,O12,'EB214'!$T$3:$T$41)</f>
        <v>0</v>
      </c>
    </row>
    <row r="13" spans="1:21" x14ac:dyDescent="0.25">
      <c r="O13" s="19" t="s">
        <v>33</v>
      </c>
      <c r="P13" s="20"/>
      <c r="Q13" s="21"/>
      <c r="R13" s="255">
        <f>SUMIF('EB214'!$W$3:$W$41,O13,'EB214'!$T$3:$T$41)</f>
        <v>0</v>
      </c>
    </row>
    <row r="14" spans="1:21" x14ac:dyDescent="0.25">
      <c r="O14" s="19" t="s">
        <v>45</v>
      </c>
      <c r="P14" s="20"/>
      <c r="Q14" s="21"/>
      <c r="R14" s="255">
        <f>SUMIF('EB214'!$W$3:$W$41,O14,'EB214'!$T$3:$T$41)</f>
        <v>0</v>
      </c>
    </row>
    <row r="15" spans="1:21" x14ac:dyDescent="0.25">
      <c r="O15" s="19" t="s">
        <v>3</v>
      </c>
      <c r="P15" s="20"/>
      <c r="Q15" s="21"/>
      <c r="R15" s="255">
        <f>SUMIF('EB214'!$W$3:$W$41,O15,'EB214'!$T$3:$T$41)</f>
        <v>2</v>
      </c>
    </row>
    <row r="16" spans="1:21" x14ac:dyDescent="0.25">
      <c r="O16" s="19" t="s">
        <v>7</v>
      </c>
      <c r="P16" s="20"/>
      <c r="Q16" s="21"/>
      <c r="R16" s="255">
        <f>SUMIF('EB214'!$W$3:$W$41,O16,'EB214'!$T$3:$T$41)</f>
        <v>0</v>
      </c>
    </row>
    <row r="17" spans="1:18" x14ac:dyDescent="0.25">
      <c r="O17" s="19" t="s">
        <v>5</v>
      </c>
      <c r="P17" s="20"/>
      <c r="Q17" s="21"/>
      <c r="R17" s="255">
        <f>SUMIF('EB214'!$W$3:$W$41,O17,'EB214'!$T$3:$T$41)</f>
        <v>0</v>
      </c>
    </row>
    <row r="18" spans="1:18" x14ac:dyDescent="0.25">
      <c r="O18" s="19" t="s">
        <v>35</v>
      </c>
      <c r="P18" s="20"/>
      <c r="Q18" s="21"/>
      <c r="R18" s="255">
        <f>SUMIF('EB214'!$W$3:$W$41,O18,'EB214'!$T$3:$T$41)</f>
        <v>0</v>
      </c>
    </row>
    <row r="19" spans="1:18" x14ac:dyDescent="0.25">
      <c r="O19" s="19" t="s">
        <v>45</v>
      </c>
      <c r="P19" s="20"/>
      <c r="Q19" s="21"/>
      <c r="R19" s="255">
        <f>SUMIF('EB214'!$W$3:$W$41,O19,'EB214'!$T$3:$T$41)</f>
        <v>0</v>
      </c>
    </row>
    <row r="20" spans="1:18" ht="15.75" customHeight="1" x14ac:dyDescent="0.25">
      <c r="O20" s="19" t="s">
        <v>10</v>
      </c>
      <c r="P20" s="20"/>
      <c r="Q20" s="21"/>
      <c r="R20" s="255">
        <f>SUMIF('EB214'!$W$3:$W$41,O20,'EB214'!$T$3:$T$41)</f>
        <v>0</v>
      </c>
    </row>
    <row r="21" spans="1:18" ht="23.25" x14ac:dyDescent="0.25">
      <c r="A21" s="567" t="s">
        <v>62</v>
      </c>
      <c r="B21" s="568"/>
      <c r="C21" s="568"/>
      <c r="D21" s="568"/>
      <c r="E21" s="569"/>
      <c r="O21" s="19" t="s">
        <v>43</v>
      </c>
      <c r="P21" s="20"/>
      <c r="Q21" s="21"/>
      <c r="R21" s="255">
        <f>SUMIF('EB214'!$W$3:$W$41,O21,'EB214'!$T$3:$T$41)</f>
        <v>5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29" t="s">
        <v>23</v>
      </c>
      <c r="O22" s="19" t="s">
        <v>28</v>
      </c>
      <c r="P22" s="20"/>
      <c r="Q22" s="21"/>
      <c r="R22" s="255">
        <f>SUMIF('EB214'!$W$3:$W$41,O22,'EB214'!$T$3:$T$41)</f>
        <v>0</v>
      </c>
    </row>
    <row r="23" spans="1:18" x14ac:dyDescent="0.25">
      <c r="A23" s="301">
        <v>1512025</v>
      </c>
      <c r="B23" s="130">
        <f>VLOOKUP(Table1411234[[#This Row],[Shop Order]],'EB214'!A:Z,4,FALSE)</f>
        <v>403</v>
      </c>
      <c r="C23" s="130">
        <f>VLOOKUP(Table1411234[[#This Row],[Shop Order]],'EB214'!A:Z,5,FALSE)</f>
        <v>379</v>
      </c>
      <c r="D23" s="131">
        <f>VLOOKUP(Table1411234[[#This Row],[Shop Order]],'EB214'!A:Z,6,FALSE)</f>
        <v>0.94044665012406947</v>
      </c>
      <c r="E23" s="327">
        <f>VLOOKUP(Table1411234[[#This Row],[Shop Order]],'EB214'!A:Z,7,FALSE)</f>
        <v>45358</v>
      </c>
      <c r="O23" s="19" t="s">
        <v>44</v>
      </c>
      <c r="P23" s="20"/>
      <c r="Q23" s="21"/>
      <c r="R23" s="255">
        <f>SUMIF('EB214'!$W$3:$W$41,O23,'EB214'!$T$3:$T$41)</f>
        <v>0</v>
      </c>
    </row>
    <row r="24" spans="1:18" x14ac:dyDescent="0.25">
      <c r="A24" s="303"/>
      <c r="B24" s="130" t="e">
        <f>VLOOKUP(Table1411234[[#This Row],[Shop Order]],'EB214'!A:Z,4,FALSE)</f>
        <v>#N/A</v>
      </c>
      <c r="C24" s="130" t="e">
        <f>VLOOKUP(Table1411234[[#This Row],[Shop Order]],'EB214'!A:Z,5,FALSE)</f>
        <v>#N/A</v>
      </c>
      <c r="D24" s="131" t="e">
        <f>VLOOKUP(Table1411234[[#This Row],[Shop Order]],'EB214'!A:Z,6,FALSE)</f>
        <v>#N/A</v>
      </c>
      <c r="E24" s="132" t="e">
        <f>VLOOKUP(Table1411234[[#This Row],[Shop Order]],'EB214'!A:Z,7,FALSE)</f>
        <v>#N/A</v>
      </c>
      <c r="G24" s="24"/>
      <c r="O24" s="19" t="s">
        <v>8</v>
      </c>
      <c r="P24" s="20"/>
      <c r="Q24" s="21"/>
      <c r="R24" s="255">
        <f>SUMIF('EB214'!$W$3:$W$41,O24,'EB214'!$T$3:$T$41)</f>
        <v>0</v>
      </c>
    </row>
    <row r="25" spans="1:18" x14ac:dyDescent="0.25">
      <c r="A25" s="301"/>
      <c r="B25" s="130" t="e">
        <f>VLOOKUP(Table1411234[[#This Row],[Shop Order]],'EB214'!A:Z,4,FALSE)</f>
        <v>#N/A</v>
      </c>
      <c r="C25" s="130" t="e">
        <f>VLOOKUP(Table1411234[[#This Row],[Shop Order]],'EB214'!A:Z,5,FALSE)</f>
        <v>#N/A</v>
      </c>
      <c r="D25" s="131" t="e">
        <f>VLOOKUP(Table1411234[[#This Row],[Shop Order]],'EB214'!A:Z,6,FALSE)</f>
        <v>#N/A</v>
      </c>
      <c r="E25" s="132" t="e">
        <f>VLOOKUP(Table1411234[[#This Row],[Shop Order]],'EB214'!A:Z,7,FALSE)</f>
        <v>#N/A</v>
      </c>
      <c r="O25" s="19" t="s">
        <v>113</v>
      </c>
      <c r="P25" s="20"/>
      <c r="Q25" s="21"/>
      <c r="R25" s="255">
        <f>SUMIF('EB214'!$W$3:$W$41,O25,'EB214'!$T$3:$T$41)</f>
        <v>0</v>
      </c>
    </row>
    <row r="26" spans="1:18" x14ac:dyDescent="0.25">
      <c r="A26" s="301"/>
      <c r="B26" s="130" t="e">
        <f>VLOOKUP(Table1411234[[#This Row],[Shop Order]],'EB214'!A:Z,4,FALSE)</f>
        <v>#N/A</v>
      </c>
      <c r="C26" s="130" t="e">
        <f>VLOOKUP(Table1411234[[#This Row],[Shop Order]],'EB214'!A:Z,5,FALSE)</f>
        <v>#N/A</v>
      </c>
      <c r="D26" s="131" t="e">
        <f>VLOOKUP(Table1411234[[#This Row],[Shop Order]],'EB214'!A:Z,6,FALSE)</f>
        <v>#N/A</v>
      </c>
      <c r="E26" s="132" t="e">
        <f>VLOOKUP(Table1411234[[#This Row],[Shop Order]],'EB214'!A:Z,7,FALSE)</f>
        <v>#N/A</v>
      </c>
      <c r="O26" s="19" t="s">
        <v>32</v>
      </c>
      <c r="P26" s="20"/>
      <c r="Q26" s="21"/>
      <c r="R26" s="255">
        <f>SUMIF('EB214'!$W$3:$W$41,O26,'EB214'!$T$3:$T$41)</f>
        <v>0</v>
      </c>
    </row>
    <row r="27" spans="1:18" x14ac:dyDescent="0.25">
      <c r="A27" s="301"/>
      <c r="B27" s="130" t="e">
        <f>VLOOKUP(Table1411234[[#This Row],[Shop Order]],'EB214'!A:Z,4,FALSE)</f>
        <v>#N/A</v>
      </c>
      <c r="C27" s="130" t="e">
        <f>VLOOKUP(Table1411234[[#This Row],[Shop Order]],'EB214'!A:Z,5,FALSE)</f>
        <v>#N/A</v>
      </c>
      <c r="D27" s="131" t="e">
        <f>VLOOKUP(Table1411234[[#This Row],[Shop Order]],'EB214'!A:Z,6,FALSE)</f>
        <v>#N/A</v>
      </c>
      <c r="E27" s="132" t="e">
        <f>VLOOKUP(Table1411234[[#This Row],[Shop Order]],'EB214'!A:Z,7,FALSE)</f>
        <v>#N/A</v>
      </c>
      <c r="O27" s="19" t="s">
        <v>102</v>
      </c>
      <c r="P27" s="20"/>
      <c r="Q27" s="21"/>
      <c r="R27" s="255">
        <f>SUMIF('EB214'!$W$3:$W$41,O27,'EB214'!$T$3:$T$41)</f>
        <v>0</v>
      </c>
    </row>
    <row r="28" spans="1:18" ht="15.75" thickBot="1" x14ac:dyDescent="0.3">
      <c r="A28" s="301"/>
      <c r="B28" s="130" t="e">
        <f>VLOOKUP(Table1411234[[#This Row],[Shop Order]],'EB214'!A:Z,4,FALSE)</f>
        <v>#N/A</v>
      </c>
      <c r="C28" s="130" t="e">
        <f>VLOOKUP(Table1411234[[#This Row],[Shop Order]],'EB214'!A:Z,5,FALSE)</f>
        <v>#N/A</v>
      </c>
      <c r="D28" s="131" t="e">
        <f>VLOOKUP(Table1411234[[#This Row],[Shop Order]],'EB214'!A:Z,6,FALSE)</f>
        <v>#N/A</v>
      </c>
      <c r="E28" s="132" t="e">
        <f>VLOOKUP(Table1411234[[#This Row],[Shop Order]],'EB214'!A:Z,7,FALSE)</f>
        <v>#N/A</v>
      </c>
      <c r="O28" s="19" t="s">
        <v>96</v>
      </c>
      <c r="P28" s="20"/>
      <c r="Q28" s="21"/>
      <c r="R28" s="255">
        <f>SUMIF('EB214'!$W$3:$W$41,O28,'EB214'!$T$3:$T$41)</f>
        <v>0</v>
      </c>
    </row>
    <row r="29" spans="1:18" ht="15.75" thickBot="1" x14ac:dyDescent="0.3">
      <c r="A29" s="564" t="s">
        <v>49</v>
      </c>
      <c r="B29" s="565"/>
      <c r="C29" s="566"/>
      <c r="D29" s="75" t="e">
        <f>AVERAGE(D23:D24)</f>
        <v>#N/A</v>
      </c>
      <c r="E29" s="26"/>
      <c r="O29" s="19" t="s">
        <v>42</v>
      </c>
      <c r="P29" s="20"/>
      <c r="Q29" s="21"/>
      <c r="R29" s="255">
        <f>SUMIF('EB214'!$W$3:$W$41,O29,'EB214'!$T$3:$T$41)</f>
        <v>0</v>
      </c>
    </row>
    <row r="30" spans="1:18" x14ac:dyDescent="0.25">
      <c r="O30" s="19" t="s">
        <v>36</v>
      </c>
      <c r="P30" s="20"/>
      <c r="Q30" s="21"/>
      <c r="R30" s="255">
        <f>SUMIF('EB214'!$W$3:$W$41,O30,'EB214'!$T$3:$T$41)</f>
        <v>0</v>
      </c>
    </row>
    <row r="32" spans="1:18" x14ac:dyDescent="0.25">
      <c r="E32" s="23"/>
    </row>
    <row r="33" spans="5:5" ht="15" customHeight="1" x14ac:dyDescent="0.25">
      <c r="E33" s="23"/>
    </row>
    <row r="34" spans="5:5" ht="15" customHeight="1" x14ac:dyDescent="0.25">
      <c r="E34" s="23"/>
    </row>
  </sheetData>
  <autoFilter ref="O4:R4" xr:uid="{00000000-0009-0000-0000-000009000000}">
    <filterColumn colId="0" showButton="0"/>
    <filterColumn colId="1" showButton="0"/>
    <sortState xmlns:xlrd2="http://schemas.microsoft.com/office/spreadsheetml/2017/richdata2" ref="O5:R30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8">
    <pageSetUpPr fitToPage="1"/>
  </sheetPr>
  <dimension ref="A1:AC642"/>
  <sheetViews>
    <sheetView topLeftCell="A586" zoomScale="65" zoomScaleNormal="65" zoomScaleSheetLayoutView="90" workbookViewId="0">
      <selection activeCell="U643" sqref="U643"/>
    </sheetView>
  </sheetViews>
  <sheetFormatPr defaultColWidth="9.140625" defaultRowHeight="15" x14ac:dyDescent="0.25"/>
  <cols>
    <col min="1" max="1" width="14.5703125" style="41" bestFit="1" customWidth="1"/>
    <col min="2" max="2" width="12.7109375" style="41" customWidth="1"/>
    <col min="3" max="3" width="7.5703125" style="41" customWidth="1"/>
    <col min="4" max="4" width="10" style="41" customWidth="1"/>
    <col min="5" max="5" width="8" style="41" bestFit="1" customWidth="1"/>
    <col min="6" max="6" width="11.140625" style="41" bestFit="1" customWidth="1"/>
    <col min="7" max="7" width="12.5703125" style="13" bestFit="1" customWidth="1"/>
    <col min="8" max="19" width="14.7109375" style="7" customWidth="1"/>
    <col min="20" max="20" width="8.42578125" style="8" bestFit="1" customWidth="1"/>
    <col min="21" max="21" width="11.140625" style="9" bestFit="1" customWidth="1"/>
    <col min="22" max="22" width="40.7109375" style="41" customWidth="1"/>
    <col min="23" max="23" width="52.28515625" style="10" customWidth="1"/>
    <col min="24" max="29" width="9.140625" style="12"/>
    <col min="30" max="16384" width="9.140625" style="41"/>
  </cols>
  <sheetData>
    <row r="1" spans="1:23" ht="75.75" thickBot="1" x14ac:dyDescent="0.3">
      <c r="A1" s="42" t="s">
        <v>22</v>
      </c>
      <c r="B1" s="42" t="s">
        <v>47</v>
      </c>
      <c r="C1" s="43" t="s">
        <v>52</v>
      </c>
      <c r="D1" s="43" t="s">
        <v>17</v>
      </c>
      <c r="E1" s="42" t="s">
        <v>16</v>
      </c>
      <c r="F1" s="44" t="s">
        <v>1</v>
      </c>
      <c r="G1" s="45" t="s">
        <v>23</v>
      </c>
      <c r="H1" s="46" t="s">
        <v>72</v>
      </c>
      <c r="I1" s="46" t="s">
        <v>73</v>
      </c>
      <c r="J1" s="46" t="s">
        <v>53</v>
      </c>
      <c r="K1" s="46" t="s">
        <v>58</v>
      </c>
      <c r="L1" s="46" t="s">
        <v>54</v>
      </c>
      <c r="M1" s="46" t="s">
        <v>59</v>
      </c>
      <c r="N1" s="46" t="s">
        <v>55</v>
      </c>
      <c r="O1" s="46" t="s">
        <v>60</v>
      </c>
      <c r="P1" s="46" t="s">
        <v>56</v>
      </c>
      <c r="Q1" s="46" t="s">
        <v>74</v>
      </c>
      <c r="R1" s="46" t="s">
        <v>115</v>
      </c>
      <c r="S1" s="46" t="s">
        <v>41</v>
      </c>
      <c r="T1" s="46" t="s">
        <v>4</v>
      </c>
      <c r="U1" s="42" t="s">
        <v>2</v>
      </c>
      <c r="V1" s="80" t="s">
        <v>20</v>
      </c>
      <c r="W1" s="81" t="s">
        <v>6</v>
      </c>
    </row>
    <row r="2" spans="1:23" ht="15.75" thickBot="1" x14ac:dyDescent="0.3">
      <c r="A2" s="316">
        <v>1510781</v>
      </c>
      <c r="B2" s="209" t="s">
        <v>110</v>
      </c>
      <c r="C2" s="316">
        <v>1920</v>
      </c>
      <c r="D2" s="316">
        <v>2044</v>
      </c>
      <c r="E2" s="321">
        <v>1850</v>
      </c>
      <c r="F2" s="322">
        <f>E2/D2</f>
        <v>0.90508806262230923</v>
      </c>
      <c r="G2" s="48">
        <v>45293</v>
      </c>
      <c r="H2" s="82"/>
      <c r="I2" s="83"/>
      <c r="J2" s="83"/>
      <c r="K2" s="83"/>
      <c r="L2" s="83"/>
      <c r="M2" s="83"/>
      <c r="N2" s="83"/>
      <c r="O2" s="83"/>
      <c r="P2" s="83"/>
      <c r="Q2" s="83"/>
      <c r="R2" s="83"/>
      <c r="S2" s="84"/>
      <c r="T2" s="296"/>
      <c r="U2" s="115"/>
      <c r="V2" s="86" t="s">
        <v>75</v>
      </c>
      <c r="W2" s="353" t="s">
        <v>70</v>
      </c>
    </row>
    <row r="3" spans="1:23" ht="15.75" x14ac:dyDescent="0.25">
      <c r="A3" s="87"/>
      <c r="B3" s="88"/>
      <c r="C3" s="88"/>
      <c r="D3" s="88"/>
      <c r="E3" s="88"/>
      <c r="F3" s="88"/>
      <c r="G3" s="89"/>
      <c r="H3" s="90">
        <v>6</v>
      </c>
      <c r="I3" s="91"/>
      <c r="J3" s="91">
        <v>1</v>
      </c>
      <c r="K3" s="91"/>
      <c r="L3" s="91"/>
      <c r="M3" s="91"/>
      <c r="N3" s="91"/>
      <c r="O3" s="91"/>
      <c r="P3" s="91"/>
      <c r="Q3" s="91"/>
      <c r="R3" s="91"/>
      <c r="S3" s="250">
        <v>7</v>
      </c>
      <c r="T3" s="249">
        <f>SUM(H3,J3,L3,N3,P3,R3,S3)</f>
        <v>14</v>
      </c>
      <c r="U3" s="349">
        <f>($T3)/$D$2</f>
        <v>6.8493150684931503E-3</v>
      </c>
      <c r="V3" s="202" t="s">
        <v>15</v>
      </c>
      <c r="W3" s="210" t="s">
        <v>120</v>
      </c>
    </row>
    <row r="4" spans="1:23" ht="15.75" x14ac:dyDescent="0.25">
      <c r="A4" s="96"/>
      <c r="B4" s="97"/>
      <c r="C4" s="97"/>
      <c r="D4" s="97"/>
      <c r="E4" s="97"/>
      <c r="F4" s="97"/>
      <c r="G4" s="98"/>
      <c r="H4" s="348">
        <v>5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253"/>
      <c r="T4" s="249">
        <f>SUM(H4,J4,L4,N4,P4,R4,S4)</f>
        <v>5</v>
      </c>
      <c r="U4" s="299">
        <f t="shared" ref="U4:U42" si="0">($T4)/$D$2</f>
        <v>2.446183953033268E-3</v>
      </c>
      <c r="V4" s="206" t="s">
        <v>43</v>
      </c>
      <c r="W4" s="210" t="s">
        <v>154</v>
      </c>
    </row>
    <row r="5" spans="1:23" ht="15.75" x14ac:dyDescent="0.25">
      <c r="A5" s="96"/>
      <c r="B5" s="97"/>
      <c r="C5" s="97"/>
      <c r="D5" s="97"/>
      <c r="E5" s="97"/>
      <c r="F5" s="97"/>
      <c r="G5" s="98"/>
      <c r="H5" s="99">
        <v>12</v>
      </c>
      <c r="I5" s="63"/>
      <c r="J5" s="63">
        <v>1</v>
      </c>
      <c r="K5" s="63"/>
      <c r="L5" s="63"/>
      <c r="M5" s="63"/>
      <c r="N5" s="63"/>
      <c r="O5" s="63"/>
      <c r="P5" s="63"/>
      <c r="Q5" s="63"/>
      <c r="R5" s="63"/>
      <c r="S5" s="251">
        <v>2</v>
      </c>
      <c r="T5" s="247">
        <f t="shared" ref="T5:T31" si="1">SUM(H5,J5,L5,N5,P5,R5,S5)</f>
        <v>15</v>
      </c>
      <c r="U5" s="93">
        <f t="shared" si="0"/>
        <v>7.3385518590998039E-3</v>
      </c>
      <c r="V5" s="203" t="s">
        <v>5</v>
      </c>
      <c r="W5" s="351"/>
    </row>
    <row r="6" spans="1:23" ht="15.75" x14ac:dyDescent="0.25">
      <c r="A6" s="96"/>
      <c r="B6" s="97"/>
      <c r="C6" s="97"/>
      <c r="D6" s="97"/>
      <c r="E6" s="104"/>
      <c r="F6" s="104"/>
      <c r="G6" s="98"/>
      <c r="H6" s="99">
        <v>50</v>
      </c>
      <c r="I6" s="63"/>
      <c r="J6" s="63">
        <v>5</v>
      </c>
      <c r="K6" s="63"/>
      <c r="L6" s="63"/>
      <c r="M6" s="63"/>
      <c r="N6" s="63"/>
      <c r="O6" s="63"/>
      <c r="P6" s="63"/>
      <c r="Q6" s="63"/>
      <c r="R6" s="63"/>
      <c r="S6" s="251">
        <v>4</v>
      </c>
      <c r="T6" s="247">
        <f t="shared" si="1"/>
        <v>59</v>
      </c>
      <c r="U6" s="93">
        <f t="shared" si="0"/>
        <v>2.8864970645792562E-2</v>
      </c>
      <c r="V6" s="203" t="s">
        <v>13</v>
      </c>
      <c r="W6" s="244"/>
    </row>
    <row r="7" spans="1:23" ht="15.75" x14ac:dyDescent="0.25">
      <c r="A7" s="96"/>
      <c r="B7" s="97"/>
      <c r="C7" s="97"/>
      <c r="D7" s="97"/>
      <c r="E7" s="104"/>
      <c r="F7" s="104"/>
      <c r="G7" s="98"/>
      <c r="H7" s="99"/>
      <c r="I7" s="63"/>
      <c r="J7" s="63"/>
      <c r="K7" s="63"/>
      <c r="L7" s="63"/>
      <c r="M7" s="63"/>
      <c r="N7" s="63"/>
      <c r="O7" s="63"/>
      <c r="P7" s="63"/>
      <c r="Q7" s="63"/>
      <c r="R7" s="63"/>
      <c r="S7" s="251"/>
      <c r="T7" s="247">
        <f t="shared" si="1"/>
        <v>0</v>
      </c>
      <c r="U7" s="93">
        <f t="shared" si="0"/>
        <v>0</v>
      </c>
      <c r="V7" s="203" t="s">
        <v>14</v>
      </c>
      <c r="W7" s="311"/>
    </row>
    <row r="8" spans="1:23" ht="15.75" x14ac:dyDescent="0.25">
      <c r="A8" s="96"/>
      <c r="B8" s="97"/>
      <c r="C8" s="97"/>
      <c r="D8" s="97"/>
      <c r="E8" s="104"/>
      <c r="F8" s="104"/>
      <c r="G8" s="98"/>
      <c r="H8" s="99">
        <v>9</v>
      </c>
      <c r="I8" s="63"/>
      <c r="J8" s="63">
        <v>2</v>
      </c>
      <c r="K8" s="63"/>
      <c r="L8" s="63"/>
      <c r="M8" s="63"/>
      <c r="N8" s="63"/>
      <c r="O8" s="63"/>
      <c r="P8" s="63"/>
      <c r="Q8" s="63"/>
      <c r="R8" s="63"/>
      <c r="S8" s="251">
        <v>1</v>
      </c>
      <c r="T8" s="247">
        <f t="shared" si="1"/>
        <v>12</v>
      </c>
      <c r="U8" s="93">
        <f t="shared" si="0"/>
        <v>5.8708414872798431E-3</v>
      </c>
      <c r="V8" s="203" t="s">
        <v>30</v>
      </c>
      <c r="W8" s="311"/>
    </row>
    <row r="9" spans="1:23" ht="15.75" x14ac:dyDescent="0.25">
      <c r="A9" s="96"/>
      <c r="B9" s="97"/>
      <c r="C9" s="97"/>
      <c r="D9" s="97"/>
      <c r="E9" s="104"/>
      <c r="F9" s="104"/>
      <c r="G9" s="98"/>
      <c r="H9" s="99"/>
      <c r="I9" s="63"/>
      <c r="J9" s="63"/>
      <c r="K9" s="63"/>
      <c r="L9" s="63"/>
      <c r="M9" s="63"/>
      <c r="N9" s="63"/>
      <c r="O9" s="63"/>
      <c r="P9" s="63"/>
      <c r="Q9" s="63"/>
      <c r="R9" s="63"/>
      <c r="S9" s="251"/>
      <c r="T9" s="247">
        <f t="shared" si="1"/>
        <v>0</v>
      </c>
      <c r="U9" s="93">
        <f t="shared" si="0"/>
        <v>0</v>
      </c>
      <c r="V9" s="203" t="s">
        <v>31</v>
      </c>
      <c r="W9" s="105"/>
    </row>
    <row r="10" spans="1:23" ht="15.75" x14ac:dyDescent="0.25">
      <c r="A10" s="96"/>
      <c r="B10" s="97"/>
      <c r="C10" s="97"/>
      <c r="D10" s="97"/>
      <c r="E10" s="104"/>
      <c r="F10" s="104"/>
      <c r="G10" s="98"/>
      <c r="H10" s="99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251"/>
      <c r="T10" s="247">
        <f t="shared" si="1"/>
        <v>0</v>
      </c>
      <c r="U10" s="93">
        <f t="shared" si="0"/>
        <v>0</v>
      </c>
      <c r="V10" s="203" t="s">
        <v>168</v>
      </c>
      <c r="W10" s="323"/>
    </row>
    <row r="11" spans="1:23" ht="15.75" x14ac:dyDescent="0.25">
      <c r="A11" s="96"/>
      <c r="B11" s="97"/>
      <c r="C11" s="97"/>
      <c r="D11" s="97"/>
      <c r="E11" s="104"/>
      <c r="F11" s="104"/>
      <c r="G11" s="98"/>
      <c r="H11" s="99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251"/>
      <c r="T11" s="247">
        <f t="shared" si="1"/>
        <v>0</v>
      </c>
      <c r="U11" s="93">
        <f t="shared" si="0"/>
        <v>0</v>
      </c>
      <c r="V11" s="204" t="s">
        <v>202</v>
      </c>
      <c r="W11" s="105"/>
    </row>
    <row r="12" spans="1:23" ht="15.75" x14ac:dyDescent="0.25">
      <c r="A12" s="96"/>
      <c r="B12" s="97"/>
      <c r="C12" s="97"/>
      <c r="D12" s="97"/>
      <c r="E12" s="104"/>
      <c r="F12" s="104"/>
      <c r="G12" s="98"/>
      <c r="H12" s="99">
        <v>5</v>
      </c>
      <c r="I12" s="63"/>
      <c r="J12" s="63">
        <v>1</v>
      </c>
      <c r="K12" s="63"/>
      <c r="L12" s="63"/>
      <c r="M12" s="63"/>
      <c r="N12" s="63"/>
      <c r="O12" s="63"/>
      <c r="P12" s="63"/>
      <c r="Q12" s="63"/>
      <c r="R12" s="63"/>
      <c r="S12" s="251">
        <v>5</v>
      </c>
      <c r="T12" s="247">
        <f t="shared" si="1"/>
        <v>11</v>
      </c>
      <c r="U12" s="93">
        <f t="shared" si="0"/>
        <v>5.3816046966731895E-3</v>
      </c>
      <c r="V12" s="203" t="s">
        <v>0</v>
      </c>
      <c r="W12" s="354"/>
    </row>
    <row r="13" spans="1:23" ht="15.75" x14ac:dyDescent="0.25">
      <c r="A13" s="96"/>
      <c r="B13" s="97"/>
      <c r="C13" s="97"/>
      <c r="D13" s="97"/>
      <c r="E13" s="104"/>
      <c r="F13" s="104"/>
      <c r="G13" s="98"/>
      <c r="H13" s="99">
        <v>17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251">
        <v>10</v>
      </c>
      <c r="T13" s="247">
        <f t="shared" si="1"/>
        <v>27</v>
      </c>
      <c r="U13" s="93">
        <f t="shared" si="0"/>
        <v>1.3209393346379647E-2</v>
      </c>
      <c r="V13" s="203" t="s">
        <v>11</v>
      </c>
      <c r="W13" s="354"/>
    </row>
    <row r="14" spans="1:23" ht="15.75" x14ac:dyDescent="0.25">
      <c r="A14" s="96"/>
      <c r="B14" s="97"/>
      <c r="C14" s="97"/>
      <c r="D14" s="97"/>
      <c r="E14" s="104"/>
      <c r="F14" s="104" t="s">
        <v>100</v>
      </c>
      <c r="G14" s="98"/>
      <c r="H14" s="99">
        <v>10</v>
      </c>
      <c r="I14" s="63"/>
      <c r="J14" s="63">
        <v>3</v>
      </c>
      <c r="K14" s="63"/>
      <c r="L14" s="63"/>
      <c r="M14" s="63"/>
      <c r="N14" s="63"/>
      <c r="O14" s="63"/>
      <c r="P14" s="63"/>
      <c r="Q14" s="63"/>
      <c r="R14" s="63"/>
      <c r="S14" s="251"/>
      <c r="T14" s="247">
        <f t="shared" si="1"/>
        <v>13</v>
      </c>
      <c r="U14" s="93">
        <f t="shared" si="0"/>
        <v>6.3600782778864967E-3</v>
      </c>
      <c r="V14" s="203" t="s">
        <v>33</v>
      </c>
      <c r="W14" s="326"/>
    </row>
    <row r="15" spans="1:23" ht="15.75" x14ac:dyDescent="0.25">
      <c r="A15" s="96"/>
      <c r="B15" s="97"/>
      <c r="C15" s="97"/>
      <c r="D15" s="97"/>
      <c r="E15" s="104"/>
      <c r="F15" s="104"/>
      <c r="G15" s="98"/>
      <c r="H15" s="99"/>
      <c r="I15" s="63"/>
      <c r="J15" s="63">
        <v>4</v>
      </c>
      <c r="K15" s="63"/>
      <c r="L15" s="63"/>
      <c r="M15" s="63"/>
      <c r="N15" s="63"/>
      <c r="O15" s="63"/>
      <c r="P15" s="63"/>
      <c r="Q15" s="63"/>
      <c r="R15" s="63"/>
      <c r="S15" s="251"/>
      <c r="T15" s="247">
        <f t="shared" si="1"/>
        <v>4</v>
      </c>
      <c r="U15" s="93">
        <f t="shared" si="0"/>
        <v>1.9569471624266144E-3</v>
      </c>
      <c r="V15" s="204" t="s">
        <v>27</v>
      </c>
      <c r="W15" s="354"/>
    </row>
    <row r="16" spans="1:23" ht="15.75" x14ac:dyDescent="0.25">
      <c r="A16" s="96"/>
      <c r="B16" s="97"/>
      <c r="C16" s="97"/>
      <c r="D16" s="97"/>
      <c r="E16" s="104"/>
      <c r="F16" s="104"/>
      <c r="G16" s="109"/>
      <c r="H16" s="110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251"/>
      <c r="T16" s="247">
        <f t="shared" si="1"/>
        <v>0</v>
      </c>
      <c r="U16" s="93">
        <f t="shared" si="0"/>
        <v>0</v>
      </c>
      <c r="V16" s="204" t="s">
        <v>26</v>
      </c>
      <c r="W16" s="212"/>
    </row>
    <row r="17" spans="1:23" ht="15.75" x14ac:dyDescent="0.25">
      <c r="A17" s="96"/>
      <c r="B17" s="97"/>
      <c r="C17" s="97"/>
      <c r="D17" s="97"/>
      <c r="E17" s="104"/>
      <c r="F17" s="104"/>
      <c r="G17" s="109"/>
      <c r="H17" s="110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251">
        <v>1</v>
      </c>
      <c r="T17" s="247">
        <f t="shared" si="1"/>
        <v>1</v>
      </c>
      <c r="U17" s="93">
        <f t="shared" si="0"/>
        <v>4.8923679060665359E-4</v>
      </c>
      <c r="V17" s="204" t="s">
        <v>236</v>
      </c>
      <c r="W17" s="103"/>
    </row>
    <row r="18" spans="1:23" ht="16.5" thickBot="1" x14ac:dyDescent="0.3">
      <c r="A18" s="96"/>
      <c r="B18" s="97"/>
      <c r="C18" s="97"/>
      <c r="D18" s="97"/>
      <c r="E18" s="104"/>
      <c r="F18" s="104"/>
      <c r="G18" s="109"/>
      <c r="H18" s="186"/>
      <c r="I18" s="187"/>
      <c r="J18" s="187">
        <v>8</v>
      </c>
      <c r="K18" s="187"/>
      <c r="L18" s="187"/>
      <c r="M18" s="187"/>
      <c r="N18" s="187"/>
      <c r="O18" s="187"/>
      <c r="P18" s="187"/>
      <c r="Q18" s="187"/>
      <c r="R18" s="187"/>
      <c r="S18" s="252"/>
      <c r="T18" s="248">
        <f t="shared" si="1"/>
        <v>8</v>
      </c>
      <c r="U18" s="245">
        <f t="shared" si="0"/>
        <v>3.9138943248532287E-3</v>
      </c>
      <c r="V18" s="205" t="s">
        <v>160</v>
      </c>
      <c r="W18" s="212"/>
    </row>
    <row r="19" spans="1:23" ht="15.75" x14ac:dyDescent="0.25">
      <c r="A19" s="96"/>
      <c r="B19" s="97"/>
      <c r="C19" s="97"/>
      <c r="D19" s="97"/>
      <c r="E19" s="104"/>
      <c r="F19" s="104"/>
      <c r="G19" s="98"/>
      <c r="H19" s="90"/>
      <c r="I19" s="111">
        <v>2</v>
      </c>
      <c r="J19" s="111"/>
      <c r="K19" s="111"/>
      <c r="L19" s="111"/>
      <c r="M19" s="111"/>
      <c r="N19" s="111"/>
      <c r="O19" s="111"/>
      <c r="P19" s="111"/>
      <c r="Q19" s="111"/>
      <c r="R19" s="111"/>
      <c r="S19" s="253"/>
      <c r="T19" s="249">
        <f t="shared" si="1"/>
        <v>0</v>
      </c>
      <c r="U19" s="183">
        <f t="shared" si="0"/>
        <v>0</v>
      </c>
      <c r="V19" s="206" t="s">
        <v>10</v>
      </c>
      <c r="W19" s="106"/>
    </row>
    <row r="20" spans="1:23" ht="15.75" x14ac:dyDescent="0.25">
      <c r="A20" s="96"/>
      <c r="B20" s="97"/>
      <c r="C20" s="97"/>
      <c r="D20" s="97"/>
      <c r="E20" s="104"/>
      <c r="F20" s="104"/>
      <c r="G20" s="98"/>
      <c r="H20" s="99"/>
      <c r="I20" s="213"/>
      <c r="J20" s="63"/>
      <c r="K20" s="63"/>
      <c r="L20" s="63"/>
      <c r="M20" s="63"/>
      <c r="N20" s="63"/>
      <c r="O20" s="63"/>
      <c r="P20" s="63"/>
      <c r="Q20" s="63"/>
      <c r="R20" s="63"/>
      <c r="S20" s="251"/>
      <c r="T20" s="247">
        <f t="shared" si="1"/>
        <v>0</v>
      </c>
      <c r="U20" s="93">
        <f t="shared" si="0"/>
        <v>0</v>
      </c>
      <c r="V20" s="331" t="s">
        <v>94</v>
      </c>
      <c r="W20" s="106"/>
    </row>
    <row r="21" spans="1:23" ht="15.75" x14ac:dyDescent="0.25">
      <c r="A21" s="96"/>
      <c r="B21" s="97"/>
      <c r="C21" s="97"/>
      <c r="D21" s="97"/>
      <c r="E21" s="104"/>
      <c r="F21" s="104"/>
      <c r="G21" s="98"/>
      <c r="H21" s="99"/>
      <c r="I21" s="214">
        <v>6</v>
      </c>
      <c r="J21" s="63">
        <v>2</v>
      </c>
      <c r="K21" s="63"/>
      <c r="L21" s="63"/>
      <c r="M21" s="63"/>
      <c r="N21" s="63"/>
      <c r="O21" s="63"/>
      <c r="P21" s="63"/>
      <c r="Q21" s="63"/>
      <c r="R21" s="63"/>
      <c r="S21" s="251">
        <v>7</v>
      </c>
      <c r="T21" s="247">
        <f t="shared" si="1"/>
        <v>9</v>
      </c>
      <c r="U21" s="93">
        <f t="shared" si="0"/>
        <v>4.4031311154598823E-3</v>
      </c>
      <c r="V21" s="203" t="s">
        <v>3</v>
      </c>
      <c r="W21" s="105"/>
    </row>
    <row r="22" spans="1:23" ht="15.75" x14ac:dyDescent="0.25">
      <c r="A22" s="96"/>
      <c r="B22" s="97"/>
      <c r="C22" s="97"/>
      <c r="D22" s="97"/>
      <c r="E22" s="97"/>
      <c r="F22" s="104"/>
      <c r="G22" s="98"/>
      <c r="H22" s="99"/>
      <c r="I22" s="214">
        <v>21</v>
      </c>
      <c r="J22" s="63">
        <v>2</v>
      </c>
      <c r="K22" s="63"/>
      <c r="L22" s="63"/>
      <c r="M22" s="63"/>
      <c r="N22" s="63"/>
      <c r="O22" s="63"/>
      <c r="P22" s="63"/>
      <c r="Q22" s="63"/>
      <c r="R22" s="63"/>
      <c r="S22" s="251"/>
      <c r="T22" s="247">
        <f t="shared" si="1"/>
        <v>2</v>
      </c>
      <c r="U22" s="93">
        <f t="shared" si="0"/>
        <v>9.7847358121330719E-4</v>
      </c>
      <c r="V22" s="203" t="s">
        <v>7</v>
      </c>
      <c r="W22" s="106"/>
    </row>
    <row r="23" spans="1:23" ht="15.75" x14ac:dyDescent="0.25">
      <c r="A23" s="96"/>
      <c r="B23" s="97"/>
      <c r="C23" s="97"/>
      <c r="D23" s="97"/>
      <c r="E23" s="97"/>
      <c r="F23" s="104"/>
      <c r="G23" s="98"/>
      <c r="H23" s="99"/>
      <c r="I23" s="214">
        <v>2</v>
      </c>
      <c r="J23" s="63"/>
      <c r="K23" s="63"/>
      <c r="L23" s="63"/>
      <c r="M23" s="63"/>
      <c r="N23" s="63"/>
      <c r="O23" s="63"/>
      <c r="P23" s="63"/>
      <c r="Q23" s="63"/>
      <c r="R23" s="63"/>
      <c r="S23" s="251"/>
      <c r="T23" s="247">
        <f t="shared" si="1"/>
        <v>0</v>
      </c>
      <c r="U23" s="93">
        <f t="shared" si="0"/>
        <v>0</v>
      </c>
      <c r="V23" s="203" t="s">
        <v>8</v>
      </c>
      <c r="W23" s="354"/>
    </row>
    <row r="24" spans="1:23" ht="15.75" x14ac:dyDescent="0.25">
      <c r="A24" s="96"/>
      <c r="B24" s="97"/>
      <c r="C24" s="97"/>
      <c r="D24" s="97"/>
      <c r="E24" s="97"/>
      <c r="F24" s="104"/>
      <c r="G24" s="98"/>
      <c r="H24" s="99"/>
      <c r="I24" s="214"/>
      <c r="J24" s="63"/>
      <c r="K24" s="63"/>
      <c r="L24" s="63"/>
      <c r="M24" s="63"/>
      <c r="N24" s="63"/>
      <c r="O24" s="63"/>
      <c r="P24" s="63"/>
      <c r="Q24" s="63"/>
      <c r="R24" s="63"/>
      <c r="S24" s="251"/>
      <c r="T24" s="247">
        <f t="shared" si="1"/>
        <v>0</v>
      </c>
      <c r="U24" s="93">
        <f t="shared" si="0"/>
        <v>0</v>
      </c>
      <c r="V24" s="203" t="s">
        <v>77</v>
      </c>
      <c r="W24" s="354" t="s">
        <v>198</v>
      </c>
    </row>
    <row r="25" spans="1:23" ht="15.75" x14ac:dyDescent="0.25">
      <c r="A25" s="96"/>
      <c r="B25" s="97"/>
      <c r="C25" s="97"/>
      <c r="D25" s="97"/>
      <c r="E25" s="97"/>
      <c r="F25" s="104"/>
      <c r="G25" s="98"/>
      <c r="H25" s="99"/>
      <c r="I25" s="214">
        <v>3</v>
      </c>
      <c r="J25" s="63"/>
      <c r="K25" s="63"/>
      <c r="L25" s="63"/>
      <c r="M25" s="63"/>
      <c r="N25" s="63"/>
      <c r="O25" s="63"/>
      <c r="P25" s="63"/>
      <c r="Q25" s="63"/>
      <c r="R25" s="63"/>
      <c r="S25" s="251"/>
      <c r="T25" s="247">
        <f t="shared" si="1"/>
        <v>0</v>
      </c>
      <c r="U25" s="93">
        <f t="shared" si="0"/>
        <v>0</v>
      </c>
      <c r="V25" s="203" t="s">
        <v>19</v>
      </c>
      <c r="W25" s="354" t="s">
        <v>208</v>
      </c>
    </row>
    <row r="26" spans="1:23" ht="15.75" x14ac:dyDescent="0.25">
      <c r="A26" s="96"/>
      <c r="B26" s="97"/>
      <c r="C26" s="97"/>
      <c r="D26" s="97"/>
      <c r="E26" s="97"/>
      <c r="F26" s="104"/>
      <c r="G26" s="98"/>
      <c r="H26" s="99"/>
      <c r="I26" s="214"/>
      <c r="J26" s="63"/>
      <c r="K26" s="63"/>
      <c r="L26" s="63"/>
      <c r="M26" s="63"/>
      <c r="N26" s="63"/>
      <c r="O26" s="63"/>
      <c r="P26" s="63"/>
      <c r="Q26" s="63"/>
      <c r="R26" s="63"/>
      <c r="S26" s="251"/>
      <c r="T26" s="247">
        <f t="shared" si="1"/>
        <v>0</v>
      </c>
      <c r="U26" s="93">
        <f t="shared" si="0"/>
        <v>0</v>
      </c>
      <c r="V26" s="203" t="s">
        <v>78</v>
      </c>
      <c r="W26" s="354"/>
    </row>
    <row r="27" spans="1:23" ht="15.75" x14ac:dyDescent="0.25">
      <c r="A27" s="96"/>
      <c r="B27" s="97"/>
      <c r="C27" s="97"/>
      <c r="D27" s="97"/>
      <c r="E27" s="97"/>
      <c r="F27" s="104"/>
      <c r="G27" s="98"/>
      <c r="H27" s="99"/>
      <c r="I27" s="214"/>
      <c r="J27" s="63"/>
      <c r="K27" s="63"/>
      <c r="L27" s="63"/>
      <c r="M27" s="63"/>
      <c r="N27" s="63"/>
      <c r="O27" s="63"/>
      <c r="P27" s="63"/>
      <c r="Q27" s="63"/>
      <c r="R27" s="63"/>
      <c r="S27" s="251"/>
      <c r="T27" s="247">
        <f t="shared" si="1"/>
        <v>0</v>
      </c>
      <c r="U27" s="93">
        <f t="shared" si="0"/>
        <v>0</v>
      </c>
      <c r="V27" s="332" t="s">
        <v>170</v>
      </c>
      <c r="W27" s="354"/>
    </row>
    <row r="28" spans="1:23" ht="15.75" x14ac:dyDescent="0.25">
      <c r="A28" s="96"/>
      <c r="B28" s="97"/>
      <c r="C28" s="97"/>
      <c r="D28" s="97"/>
      <c r="E28" s="104"/>
      <c r="F28" s="104"/>
      <c r="G28" s="98"/>
      <c r="H28" s="99"/>
      <c r="I28" s="214">
        <v>34</v>
      </c>
      <c r="J28" s="63">
        <v>1</v>
      </c>
      <c r="K28" s="63"/>
      <c r="L28" s="63"/>
      <c r="M28" s="63"/>
      <c r="N28" s="63"/>
      <c r="O28" s="63"/>
      <c r="P28" s="63"/>
      <c r="Q28" s="63"/>
      <c r="R28" s="63"/>
      <c r="S28" s="251"/>
      <c r="T28" s="247">
        <f t="shared" si="1"/>
        <v>1</v>
      </c>
      <c r="U28" s="93">
        <f t="shared" si="0"/>
        <v>4.8923679060665359E-4</v>
      </c>
      <c r="V28" s="203" t="s">
        <v>12</v>
      </c>
      <c r="W28" s="326"/>
    </row>
    <row r="29" spans="1:23" ht="15.75" x14ac:dyDescent="0.25">
      <c r="A29" s="96"/>
      <c r="B29" s="97"/>
      <c r="C29" s="97"/>
      <c r="D29" s="97"/>
      <c r="E29" s="104"/>
      <c r="F29" s="104"/>
      <c r="G29" s="98"/>
      <c r="H29" s="99"/>
      <c r="I29" s="63">
        <v>10</v>
      </c>
      <c r="J29" s="63"/>
      <c r="K29" s="63"/>
      <c r="L29" s="63"/>
      <c r="M29" s="63"/>
      <c r="N29" s="63"/>
      <c r="O29" s="63"/>
      <c r="P29" s="63"/>
      <c r="Q29" s="63"/>
      <c r="R29" s="63"/>
      <c r="S29" s="251"/>
      <c r="T29" s="247">
        <f t="shared" si="1"/>
        <v>0</v>
      </c>
      <c r="U29" s="93">
        <f t="shared" si="0"/>
        <v>0</v>
      </c>
      <c r="V29" s="204" t="s">
        <v>164</v>
      </c>
      <c r="W29" s="354"/>
    </row>
    <row r="30" spans="1:23" ht="15.75" x14ac:dyDescent="0.25">
      <c r="A30" s="96"/>
      <c r="B30" s="97"/>
      <c r="C30" s="97"/>
      <c r="D30" s="97"/>
      <c r="E30" s="104"/>
      <c r="F30" s="104"/>
      <c r="G30" s="98"/>
      <c r="H30" s="99"/>
      <c r="I30" s="63">
        <v>5</v>
      </c>
      <c r="J30" s="63"/>
      <c r="K30" s="63"/>
      <c r="L30" s="63"/>
      <c r="M30" s="63"/>
      <c r="N30" s="63"/>
      <c r="O30" s="63"/>
      <c r="P30" s="63"/>
      <c r="Q30" s="63"/>
      <c r="R30" s="63"/>
      <c r="S30" s="251"/>
      <c r="T30" s="247">
        <f t="shared" si="1"/>
        <v>0</v>
      </c>
      <c r="U30" s="93">
        <f t="shared" si="0"/>
        <v>0</v>
      </c>
      <c r="V30" s="204" t="s">
        <v>92</v>
      </c>
      <c r="W30" s="326"/>
    </row>
    <row r="31" spans="1:23" ht="16.5" thickBot="1" x14ac:dyDescent="0.3">
      <c r="A31" s="96"/>
      <c r="B31" s="97"/>
      <c r="C31" s="97"/>
      <c r="D31" s="97"/>
      <c r="E31" s="104"/>
      <c r="F31" s="104"/>
      <c r="G31" s="98"/>
      <c r="H31" s="107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254">
        <v>3</v>
      </c>
      <c r="T31" s="248">
        <f t="shared" si="1"/>
        <v>3</v>
      </c>
      <c r="U31" s="299">
        <f t="shared" si="0"/>
        <v>1.4677103718199608E-3</v>
      </c>
      <c r="V31" s="357" t="s">
        <v>9</v>
      </c>
      <c r="W31" s="326"/>
    </row>
    <row r="32" spans="1:23" ht="16.5" thickBot="1" x14ac:dyDescent="0.3">
      <c r="A32" s="96"/>
      <c r="B32" s="97"/>
      <c r="C32" s="97"/>
      <c r="D32" s="97"/>
      <c r="E32" s="104"/>
      <c r="F32" s="104"/>
      <c r="G32" s="98"/>
      <c r="H32" s="82"/>
      <c r="I32" s="83"/>
      <c r="J32" s="240"/>
      <c r="K32" s="83"/>
      <c r="L32" s="83"/>
      <c r="M32" s="83"/>
      <c r="N32" s="83"/>
      <c r="O32" s="83"/>
      <c r="P32" s="83"/>
      <c r="Q32" s="83"/>
      <c r="R32" s="83"/>
      <c r="S32" s="83"/>
      <c r="T32" s="246"/>
      <c r="U32" s="246"/>
      <c r="V32" s="208" t="s">
        <v>153</v>
      </c>
      <c r="W32" s="354" t="s">
        <v>209</v>
      </c>
    </row>
    <row r="33" spans="1:23" ht="15.75" x14ac:dyDescent="0.25">
      <c r="A33" s="96"/>
      <c r="B33" s="97"/>
      <c r="C33" s="97"/>
      <c r="D33" s="97"/>
      <c r="E33" s="104"/>
      <c r="F33" s="104"/>
      <c r="G33" s="109"/>
      <c r="H33" s="90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250"/>
      <c r="T33" s="249">
        <f t="shared" ref="T33:T34" si="2">SUM(H33,J33,L33,N33,P33,R33,S33)</f>
        <v>0</v>
      </c>
      <c r="U33" s="183">
        <f t="shared" si="0"/>
        <v>0</v>
      </c>
      <c r="V33" s="202" t="s">
        <v>89</v>
      </c>
      <c r="W33" s="354" t="s">
        <v>210</v>
      </c>
    </row>
    <row r="34" spans="1:23" ht="15.75" x14ac:dyDescent="0.25">
      <c r="A34" s="96"/>
      <c r="B34" s="97"/>
      <c r="C34" s="97"/>
      <c r="D34" s="97"/>
      <c r="E34" s="104"/>
      <c r="F34" s="104"/>
      <c r="G34" s="109"/>
      <c r="H34" s="99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251"/>
      <c r="T34" s="247">
        <f t="shared" si="2"/>
        <v>0</v>
      </c>
      <c r="U34" s="183">
        <f t="shared" si="0"/>
        <v>0</v>
      </c>
      <c r="V34" s="203" t="s">
        <v>83</v>
      </c>
      <c r="W34" s="354" t="s">
        <v>211</v>
      </c>
    </row>
    <row r="35" spans="1:23" x14ac:dyDescent="0.25">
      <c r="A35" s="96"/>
      <c r="B35" s="97"/>
      <c r="C35" s="97"/>
      <c r="D35" s="97"/>
      <c r="E35" s="104"/>
      <c r="F35" s="104"/>
      <c r="G35" s="109"/>
      <c r="H35" s="99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251"/>
      <c r="T35" s="247">
        <v>0</v>
      </c>
      <c r="U35" s="183">
        <f t="shared" si="0"/>
        <v>0</v>
      </c>
      <c r="V35" s="355" t="s">
        <v>167</v>
      </c>
      <c r="W35" s="326" t="s">
        <v>212</v>
      </c>
    </row>
    <row r="36" spans="1:23" ht="15.75" x14ac:dyDescent="0.25">
      <c r="A36" s="96"/>
      <c r="B36" s="97"/>
      <c r="C36" s="97"/>
      <c r="D36" s="97"/>
      <c r="E36" s="104"/>
      <c r="F36" s="104"/>
      <c r="G36" s="109"/>
      <c r="H36" s="99">
        <v>3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251"/>
      <c r="T36" s="247">
        <f t="shared" ref="T36:T41" si="3">SUM(H36,J36,L36,N36,P36,R36,S36)</f>
        <v>3</v>
      </c>
      <c r="U36" s="183">
        <f t="shared" si="0"/>
        <v>1.4677103718199608E-3</v>
      </c>
      <c r="V36" s="203" t="s">
        <v>71</v>
      </c>
      <c r="W36" s="326" t="s">
        <v>213</v>
      </c>
    </row>
    <row r="37" spans="1:23" ht="15.75" x14ac:dyDescent="0.25">
      <c r="A37" s="96"/>
      <c r="B37" s="97"/>
      <c r="C37" s="97"/>
      <c r="D37" s="97"/>
      <c r="E37" s="104"/>
      <c r="F37" s="104"/>
      <c r="G37" s="109"/>
      <c r="H37" s="99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251"/>
      <c r="T37" s="247">
        <f t="shared" si="3"/>
        <v>0</v>
      </c>
      <c r="U37" s="183">
        <f t="shared" si="0"/>
        <v>0</v>
      </c>
      <c r="V37" s="204" t="s">
        <v>84</v>
      </c>
      <c r="W37" s="326"/>
    </row>
    <row r="38" spans="1:23" ht="15.75" x14ac:dyDescent="0.25">
      <c r="A38" s="96"/>
      <c r="B38" s="97"/>
      <c r="C38" s="97"/>
      <c r="D38" s="97"/>
      <c r="E38" s="104"/>
      <c r="F38" s="104"/>
      <c r="G38" s="109"/>
      <c r="H38" s="99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251"/>
      <c r="T38" s="247">
        <f t="shared" si="3"/>
        <v>0</v>
      </c>
      <c r="U38" s="183">
        <f t="shared" si="0"/>
        <v>0</v>
      </c>
      <c r="V38" s="204" t="s">
        <v>26</v>
      </c>
      <c r="W38" s="326"/>
    </row>
    <row r="39" spans="1:23" ht="15.75" x14ac:dyDescent="0.25">
      <c r="A39" s="96"/>
      <c r="B39" s="97"/>
      <c r="C39" s="97"/>
      <c r="D39" s="97"/>
      <c r="E39" s="104"/>
      <c r="F39" s="104"/>
      <c r="G39" s="109"/>
      <c r="H39" s="107">
        <v>2</v>
      </c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254"/>
      <c r="T39" s="247">
        <f t="shared" si="3"/>
        <v>2</v>
      </c>
      <c r="U39" s="183">
        <f t="shared" si="0"/>
        <v>9.7847358121330719E-4</v>
      </c>
      <c r="V39" s="207" t="s">
        <v>35</v>
      </c>
      <c r="W39" s="356"/>
    </row>
    <row r="40" spans="1:23" ht="15.75" x14ac:dyDescent="0.25">
      <c r="A40" s="96"/>
      <c r="B40" s="97"/>
      <c r="C40" s="97"/>
      <c r="D40" s="97"/>
      <c r="E40" s="104"/>
      <c r="F40" s="104"/>
      <c r="G40" s="109"/>
      <c r="H40" s="107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254"/>
      <c r="T40" s="247">
        <f t="shared" si="3"/>
        <v>0</v>
      </c>
      <c r="U40" s="183">
        <f t="shared" si="0"/>
        <v>0</v>
      </c>
      <c r="V40" s="203" t="s">
        <v>85</v>
      </c>
      <c r="W40" s="326"/>
    </row>
    <row r="41" spans="1:23" ht="16.5" thickBot="1" x14ac:dyDescent="0.3">
      <c r="A41" s="117"/>
      <c r="B41" s="118"/>
      <c r="C41" s="118"/>
      <c r="D41" s="118"/>
      <c r="E41" s="119"/>
      <c r="F41" s="119"/>
      <c r="G41" s="120"/>
      <c r="H41" s="107">
        <v>5</v>
      </c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254"/>
      <c r="T41" s="247">
        <f t="shared" si="3"/>
        <v>5</v>
      </c>
      <c r="U41" s="299">
        <f t="shared" si="0"/>
        <v>2.446183953033268E-3</v>
      </c>
      <c r="V41" s="205" t="s">
        <v>148</v>
      </c>
      <c r="W41" s="352"/>
    </row>
    <row r="42" spans="1:23" ht="15.75" thickBot="1" x14ac:dyDescent="0.3">
      <c r="A42" s="122"/>
      <c r="B42" s="122"/>
      <c r="C42" s="122"/>
      <c r="D42" s="122"/>
      <c r="E42" s="122"/>
      <c r="F42" s="122"/>
      <c r="G42" s="47" t="s">
        <v>4</v>
      </c>
      <c r="H42" s="123">
        <f t="shared" ref="H42:S42" si="4">SUM(H3:H41)</f>
        <v>124</v>
      </c>
      <c r="I42" s="123">
        <f t="shared" si="4"/>
        <v>83</v>
      </c>
      <c r="J42" s="123">
        <f t="shared" si="4"/>
        <v>30</v>
      </c>
      <c r="K42" s="123">
        <f t="shared" si="4"/>
        <v>0</v>
      </c>
      <c r="L42" s="123">
        <f t="shared" si="4"/>
        <v>0</v>
      </c>
      <c r="M42" s="123">
        <f t="shared" si="4"/>
        <v>0</v>
      </c>
      <c r="N42" s="123">
        <f t="shared" si="4"/>
        <v>0</v>
      </c>
      <c r="O42" s="123">
        <f t="shared" si="4"/>
        <v>0</v>
      </c>
      <c r="P42" s="123">
        <f t="shared" si="4"/>
        <v>0</v>
      </c>
      <c r="Q42" s="123">
        <f t="shared" si="4"/>
        <v>0</v>
      </c>
      <c r="R42" s="123">
        <f t="shared" si="4"/>
        <v>0</v>
      </c>
      <c r="S42" s="123">
        <f t="shared" si="4"/>
        <v>40</v>
      </c>
      <c r="T42" s="198">
        <f>SUM(H42,J42,L42,N42,P42,R42,S42)</f>
        <v>194</v>
      </c>
      <c r="U42" s="333">
        <f t="shared" si="0"/>
        <v>9.4911937377690797E-2</v>
      </c>
      <c r="V42" s="40"/>
    </row>
    <row r="44" spans="1:23" ht="15.75" thickBot="1" x14ac:dyDescent="0.3"/>
    <row r="45" spans="1:23" ht="75.75" thickBot="1" x14ac:dyDescent="0.3">
      <c r="A45" s="42" t="s">
        <v>22</v>
      </c>
      <c r="B45" s="42" t="s">
        <v>47</v>
      </c>
      <c r="C45" s="43" t="s">
        <v>52</v>
      </c>
      <c r="D45" s="43" t="s">
        <v>17</v>
      </c>
      <c r="E45" s="42" t="s">
        <v>16</v>
      </c>
      <c r="F45" s="44" t="s">
        <v>1</v>
      </c>
      <c r="G45" s="45" t="s">
        <v>23</v>
      </c>
      <c r="H45" s="46" t="s">
        <v>72</v>
      </c>
      <c r="I45" s="46" t="s">
        <v>73</v>
      </c>
      <c r="J45" s="46" t="s">
        <v>53</v>
      </c>
      <c r="K45" s="46" t="s">
        <v>58</v>
      </c>
      <c r="L45" s="46" t="s">
        <v>54</v>
      </c>
      <c r="M45" s="46" t="s">
        <v>59</v>
      </c>
      <c r="N45" s="46" t="s">
        <v>55</v>
      </c>
      <c r="O45" s="46" t="s">
        <v>60</v>
      </c>
      <c r="P45" s="46" t="s">
        <v>56</v>
      </c>
      <c r="Q45" s="46" t="s">
        <v>74</v>
      </c>
      <c r="R45" s="46" t="s">
        <v>115</v>
      </c>
      <c r="S45" s="46" t="s">
        <v>41</v>
      </c>
      <c r="T45" s="46" t="s">
        <v>4</v>
      </c>
      <c r="U45" s="42" t="s">
        <v>2</v>
      </c>
      <c r="V45" s="80" t="s">
        <v>20</v>
      </c>
      <c r="W45" s="81" t="s">
        <v>6</v>
      </c>
    </row>
    <row r="46" spans="1:23" ht="15.75" thickBot="1" x14ac:dyDescent="0.3">
      <c r="A46" s="316">
        <v>1510779</v>
      </c>
      <c r="B46" s="209" t="s">
        <v>110</v>
      </c>
      <c r="C46" s="316">
        <v>1920</v>
      </c>
      <c r="D46" s="316">
        <v>2077</v>
      </c>
      <c r="E46" s="321">
        <v>1872</v>
      </c>
      <c r="F46" s="322">
        <f>E46/D46</f>
        <v>0.9012999518536351</v>
      </c>
      <c r="G46" s="48">
        <v>45294</v>
      </c>
      <c r="H46" s="82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4"/>
      <c r="T46" s="296"/>
      <c r="U46" s="115"/>
      <c r="V46" s="86" t="s">
        <v>75</v>
      </c>
      <c r="W46" s="353" t="s">
        <v>70</v>
      </c>
    </row>
    <row r="47" spans="1:23" ht="15.75" x14ac:dyDescent="0.25">
      <c r="A47" s="87"/>
      <c r="B47" s="88"/>
      <c r="C47" s="88"/>
      <c r="D47" s="88"/>
      <c r="E47" s="88"/>
      <c r="F47" s="88"/>
      <c r="G47" s="89"/>
      <c r="H47" s="90">
        <v>18</v>
      </c>
      <c r="I47" s="91"/>
      <c r="J47" s="91">
        <v>1</v>
      </c>
      <c r="K47" s="91"/>
      <c r="L47" s="91"/>
      <c r="M47" s="91"/>
      <c r="N47" s="91"/>
      <c r="O47" s="91"/>
      <c r="P47" s="91"/>
      <c r="Q47" s="91"/>
      <c r="R47" s="91"/>
      <c r="S47" s="250">
        <v>8</v>
      </c>
      <c r="T47" s="249">
        <f>SUM(H47,J47,L47,N47,P47,R47,S47)</f>
        <v>27</v>
      </c>
      <c r="U47" s="349">
        <f>($T47)/$D$46</f>
        <v>1.2999518536350506E-2</v>
      </c>
      <c r="V47" s="202" t="s">
        <v>15</v>
      </c>
      <c r="W47" s="210" t="s">
        <v>120</v>
      </c>
    </row>
    <row r="48" spans="1:23" ht="15.75" x14ac:dyDescent="0.25">
      <c r="A48" s="96"/>
      <c r="B48" s="97"/>
      <c r="C48" s="97"/>
      <c r="D48" s="97"/>
      <c r="E48" s="97"/>
      <c r="F48" s="97"/>
      <c r="G48" s="98"/>
      <c r="H48" s="348">
        <v>5</v>
      </c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253"/>
      <c r="T48" s="249">
        <f>SUM(H48,J48,L48,N48,P48,R48,S48)</f>
        <v>5</v>
      </c>
      <c r="U48" s="299">
        <f t="shared" ref="U48:U86" si="5">($T48)/$D$46</f>
        <v>2.4073182474723159E-3</v>
      </c>
      <c r="V48" s="206" t="s">
        <v>43</v>
      </c>
      <c r="W48" s="210" t="s">
        <v>154</v>
      </c>
    </row>
    <row r="49" spans="1:23" ht="15.75" x14ac:dyDescent="0.25">
      <c r="A49" s="96"/>
      <c r="B49" s="97"/>
      <c r="C49" s="97"/>
      <c r="D49" s="97"/>
      <c r="E49" s="97"/>
      <c r="F49" s="97"/>
      <c r="G49" s="98"/>
      <c r="H49" s="99">
        <v>27</v>
      </c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251">
        <v>2</v>
      </c>
      <c r="T49" s="247">
        <f t="shared" ref="T49:T75" si="6">SUM(H49,J49,L49,N49,P49,R49,S49)</f>
        <v>29</v>
      </c>
      <c r="U49" s="93">
        <f t="shared" si="5"/>
        <v>1.3962445835339432E-2</v>
      </c>
      <c r="V49" s="203" t="s">
        <v>5</v>
      </c>
      <c r="W49" s="351"/>
    </row>
    <row r="50" spans="1:23" ht="15.75" x14ac:dyDescent="0.25">
      <c r="A50" s="96"/>
      <c r="B50" s="97"/>
      <c r="C50" s="97"/>
      <c r="D50" s="97"/>
      <c r="E50" s="104"/>
      <c r="F50" s="104"/>
      <c r="G50" s="98"/>
      <c r="H50" s="99">
        <v>32</v>
      </c>
      <c r="I50" s="63"/>
      <c r="J50" s="63">
        <v>6</v>
      </c>
      <c r="K50" s="63"/>
      <c r="L50" s="63"/>
      <c r="M50" s="63"/>
      <c r="N50" s="63"/>
      <c r="O50" s="63"/>
      <c r="P50" s="63"/>
      <c r="Q50" s="63"/>
      <c r="R50" s="63"/>
      <c r="S50" s="251">
        <v>5</v>
      </c>
      <c r="T50" s="247">
        <f t="shared" si="6"/>
        <v>43</v>
      </c>
      <c r="U50" s="93">
        <f t="shared" si="5"/>
        <v>2.0702936928261917E-2</v>
      </c>
      <c r="V50" s="203" t="s">
        <v>13</v>
      </c>
      <c r="W50" s="244"/>
    </row>
    <row r="51" spans="1:23" ht="15.75" x14ac:dyDescent="0.25">
      <c r="A51" s="96"/>
      <c r="B51" s="97"/>
      <c r="C51" s="97"/>
      <c r="D51" s="97"/>
      <c r="E51" s="104"/>
      <c r="F51" s="104"/>
      <c r="G51" s="98"/>
      <c r="H51" s="99">
        <v>1</v>
      </c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251"/>
      <c r="T51" s="247">
        <f t="shared" si="6"/>
        <v>1</v>
      </c>
      <c r="U51" s="93">
        <f t="shared" si="5"/>
        <v>4.8146364949446316E-4</v>
      </c>
      <c r="V51" s="203" t="s">
        <v>14</v>
      </c>
      <c r="W51" s="311"/>
    </row>
    <row r="52" spans="1:23" ht="15.75" x14ac:dyDescent="0.25">
      <c r="A52" s="96"/>
      <c r="B52" s="97"/>
      <c r="C52" s="97"/>
      <c r="D52" s="97"/>
      <c r="E52" s="104"/>
      <c r="F52" s="104"/>
      <c r="G52" s="98"/>
      <c r="H52" s="99">
        <v>5</v>
      </c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251"/>
      <c r="T52" s="247">
        <f t="shared" si="6"/>
        <v>5</v>
      </c>
      <c r="U52" s="93">
        <f t="shared" si="5"/>
        <v>2.4073182474723159E-3</v>
      </c>
      <c r="V52" s="203" t="s">
        <v>30</v>
      </c>
      <c r="W52" s="311"/>
    </row>
    <row r="53" spans="1:23" ht="15.75" x14ac:dyDescent="0.25">
      <c r="A53" s="96"/>
      <c r="B53" s="97"/>
      <c r="C53" s="97"/>
      <c r="D53" s="97"/>
      <c r="E53" s="104"/>
      <c r="F53" s="104"/>
      <c r="G53" s="98"/>
      <c r="H53" s="99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251"/>
      <c r="T53" s="247">
        <f t="shared" si="6"/>
        <v>0</v>
      </c>
      <c r="U53" s="93">
        <f t="shared" si="5"/>
        <v>0</v>
      </c>
      <c r="V53" s="203" t="s">
        <v>31</v>
      </c>
      <c r="W53" s="105"/>
    </row>
    <row r="54" spans="1:23" ht="15.75" x14ac:dyDescent="0.25">
      <c r="A54" s="96"/>
      <c r="B54" s="97"/>
      <c r="C54" s="97"/>
      <c r="D54" s="97"/>
      <c r="E54" s="104"/>
      <c r="F54" s="104"/>
      <c r="G54" s="98"/>
      <c r="H54" s="99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251"/>
      <c r="T54" s="247">
        <f t="shared" si="6"/>
        <v>0</v>
      </c>
      <c r="U54" s="93">
        <f t="shared" si="5"/>
        <v>0</v>
      </c>
      <c r="V54" s="203" t="s">
        <v>168</v>
      </c>
      <c r="W54" s="323"/>
    </row>
    <row r="55" spans="1:23" ht="15.75" x14ac:dyDescent="0.25">
      <c r="A55" s="96"/>
      <c r="B55" s="97"/>
      <c r="C55" s="97"/>
      <c r="D55" s="97"/>
      <c r="E55" s="104"/>
      <c r="F55" s="104"/>
      <c r="G55" s="98"/>
      <c r="H55" s="99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251"/>
      <c r="T55" s="247">
        <f t="shared" si="6"/>
        <v>0</v>
      </c>
      <c r="U55" s="93">
        <f t="shared" si="5"/>
        <v>0</v>
      </c>
      <c r="V55" s="204" t="s">
        <v>202</v>
      </c>
      <c r="W55" s="105"/>
    </row>
    <row r="56" spans="1:23" ht="15.75" x14ac:dyDescent="0.25">
      <c r="A56" s="96"/>
      <c r="B56" s="97"/>
      <c r="C56" s="97"/>
      <c r="D56" s="97"/>
      <c r="E56" s="104"/>
      <c r="F56" s="104"/>
      <c r="G56" s="98"/>
      <c r="H56" s="99">
        <v>1</v>
      </c>
      <c r="I56" s="63"/>
      <c r="J56" s="63">
        <v>1</v>
      </c>
      <c r="K56" s="63"/>
      <c r="L56" s="63"/>
      <c r="M56" s="63"/>
      <c r="N56" s="63"/>
      <c r="O56" s="63"/>
      <c r="P56" s="63"/>
      <c r="Q56" s="63"/>
      <c r="R56" s="63"/>
      <c r="S56" s="251">
        <v>8</v>
      </c>
      <c r="T56" s="247">
        <f t="shared" si="6"/>
        <v>10</v>
      </c>
      <c r="U56" s="93">
        <f t="shared" si="5"/>
        <v>4.8146364949446319E-3</v>
      </c>
      <c r="V56" s="203" t="s">
        <v>0</v>
      </c>
      <c r="W56" s="354"/>
    </row>
    <row r="57" spans="1:23" ht="15.75" x14ac:dyDescent="0.25">
      <c r="A57" s="96"/>
      <c r="B57" s="97"/>
      <c r="C57" s="97"/>
      <c r="D57" s="97"/>
      <c r="E57" s="104"/>
      <c r="F57" s="104"/>
      <c r="G57" s="98"/>
      <c r="H57" s="99">
        <v>8</v>
      </c>
      <c r="I57" s="63"/>
      <c r="J57" s="63">
        <v>1</v>
      </c>
      <c r="K57" s="63"/>
      <c r="L57" s="63"/>
      <c r="M57" s="63"/>
      <c r="N57" s="63"/>
      <c r="O57" s="63"/>
      <c r="P57" s="63"/>
      <c r="Q57" s="63"/>
      <c r="R57" s="63"/>
      <c r="S57" s="251">
        <v>16</v>
      </c>
      <c r="T57" s="247">
        <f t="shared" si="6"/>
        <v>25</v>
      </c>
      <c r="U57" s="93">
        <f t="shared" si="5"/>
        <v>1.2036591237361579E-2</v>
      </c>
      <c r="V57" s="203" t="s">
        <v>11</v>
      </c>
      <c r="W57" s="354"/>
    </row>
    <row r="58" spans="1:23" ht="15.75" x14ac:dyDescent="0.25">
      <c r="A58" s="96"/>
      <c r="B58" s="97"/>
      <c r="C58" s="97"/>
      <c r="D58" s="97"/>
      <c r="E58" s="104"/>
      <c r="F58" s="104" t="s">
        <v>100</v>
      </c>
      <c r="G58" s="98"/>
      <c r="H58" s="99">
        <v>36</v>
      </c>
      <c r="I58" s="63"/>
      <c r="J58" s="63">
        <v>1</v>
      </c>
      <c r="K58" s="63"/>
      <c r="L58" s="63"/>
      <c r="M58" s="63"/>
      <c r="N58" s="63"/>
      <c r="O58" s="63"/>
      <c r="P58" s="63"/>
      <c r="Q58" s="63"/>
      <c r="R58" s="63"/>
      <c r="S58" s="251"/>
      <c r="T58" s="247">
        <f t="shared" si="6"/>
        <v>37</v>
      </c>
      <c r="U58" s="93">
        <f t="shared" si="5"/>
        <v>1.7814155031295138E-2</v>
      </c>
      <c r="V58" s="203" t="s">
        <v>33</v>
      </c>
      <c r="W58" s="326"/>
    </row>
    <row r="59" spans="1:23" ht="15.75" x14ac:dyDescent="0.25">
      <c r="A59" s="96"/>
      <c r="B59" s="97"/>
      <c r="C59" s="97"/>
      <c r="D59" s="97"/>
      <c r="E59" s="104"/>
      <c r="F59" s="104"/>
      <c r="G59" s="98"/>
      <c r="H59" s="99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251"/>
      <c r="T59" s="247">
        <f t="shared" si="6"/>
        <v>0</v>
      </c>
      <c r="U59" s="93">
        <f t="shared" si="5"/>
        <v>0</v>
      </c>
      <c r="V59" s="204" t="s">
        <v>27</v>
      </c>
      <c r="W59" s="354"/>
    </row>
    <row r="60" spans="1:23" ht="15.75" x14ac:dyDescent="0.25">
      <c r="A60" s="96"/>
      <c r="B60" s="97"/>
      <c r="C60" s="97"/>
      <c r="D60" s="97"/>
      <c r="E60" s="104"/>
      <c r="F60" s="104"/>
      <c r="G60" s="109"/>
      <c r="H60" s="110">
        <v>7</v>
      </c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251"/>
      <c r="T60" s="247">
        <f t="shared" si="6"/>
        <v>7</v>
      </c>
      <c r="U60" s="93">
        <f t="shared" si="5"/>
        <v>3.3702455464612422E-3</v>
      </c>
      <c r="V60" s="204" t="s">
        <v>26</v>
      </c>
      <c r="W60" s="212"/>
    </row>
    <row r="61" spans="1:23" ht="15.75" x14ac:dyDescent="0.25">
      <c r="A61" s="96"/>
      <c r="B61" s="97"/>
      <c r="C61" s="97"/>
      <c r="D61" s="97"/>
      <c r="E61" s="104"/>
      <c r="F61" s="104"/>
      <c r="G61" s="109"/>
      <c r="H61" s="110">
        <v>1</v>
      </c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251"/>
      <c r="T61" s="247">
        <f t="shared" si="6"/>
        <v>1</v>
      </c>
      <c r="U61" s="93">
        <f t="shared" si="5"/>
        <v>4.8146364949446316E-4</v>
      </c>
      <c r="V61" s="204" t="s">
        <v>148</v>
      </c>
      <c r="W61" s="103"/>
    </row>
    <row r="62" spans="1:23" ht="16.5" thickBot="1" x14ac:dyDescent="0.3">
      <c r="A62" s="96"/>
      <c r="B62" s="97"/>
      <c r="C62" s="97"/>
      <c r="D62" s="97"/>
      <c r="E62" s="104"/>
      <c r="F62" s="104"/>
      <c r="G62" s="109"/>
      <c r="H62" s="186">
        <v>1</v>
      </c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252"/>
      <c r="T62" s="248">
        <f t="shared" si="6"/>
        <v>1</v>
      </c>
      <c r="U62" s="245">
        <f t="shared" si="5"/>
        <v>4.8146364949446316E-4</v>
      </c>
      <c r="V62" s="205" t="s">
        <v>158</v>
      </c>
      <c r="W62" s="212"/>
    </row>
    <row r="63" spans="1:23" ht="15.75" x14ac:dyDescent="0.25">
      <c r="A63" s="96"/>
      <c r="B63" s="97"/>
      <c r="C63" s="97"/>
      <c r="D63" s="97"/>
      <c r="E63" s="104"/>
      <c r="F63" s="104"/>
      <c r="G63" s="98"/>
      <c r="H63" s="90"/>
      <c r="I63" s="111">
        <v>4</v>
      </c>
      <c r="J63" s="111"/>
      <c r="K63" s="111"/>
      <c r="L63" s="111"/>
      <c r="M63" s="111"/>
      <c r="N63" s="111"/>
      <c r="O63" s="111"/>
      <c r="P63" s="111"/>
      <c r="Q63" s="111"/>
      <c r="R63" s="111"/>
      <c r="S63" s="253"/>
      <c r="T63" s="249">
        <f t="shared" si="6"/>
        <v>0</v>
      </c>
      <c r="U63" s="183">
        <f t="shared" si="5"/>
        <v>0</v>
      </c>
      <c r="V63" s="206" t="s">
        <v>10</v>
      </c>
      <c r="W63" s="106"/>
    </row>
    <row r="64" spans="1:23" ht="15.75" x14ac:dyDescent="0.25">
      <c r="A64" s="96"/>
      <c r="B64" s="97"/>
      <c r="C64" s="97"/>
      <c r="D64" s="97"/>
      <c r="E64" s="104"/>
      <c r="F64" s="104"/>
      <c r="G64" s="98"/>
      <c r="H64" s="99"/>
      <c r="I64" s="213">
        <v>1</v>
      </c>
      <c r="J64" s="63"/>
      <c r="K64" s="63"/>
      <c r="L64" s="63"/>
      <c r="M64" s="63"/>
      <c r="N64" s="63"/>
      <c r="O64" s="63"/>
      <c r="P64" s="63"/>
      <c r="Q64" s="63"/>
      <c r="R64" s="63">
        <v>3</v>
      </c>
      <c r="S64" s="251"/>
      <c r="T64" s="247">
        <f t="shared" si="6"/>
        <v>3</v>
      </c>
      <c r="U64" s="93">
        <f t="shared" si="5"/>
        <v>1.4443909484833895E-3</v>
      </c>
      <c r="V64" s="331" t="s">
        <v>94</v>
      </c>
      <c r="W64" s="106"/>
    </row>
    <row r="65" spans="1:23" ht="15.75" x14ac:dyDescent="0.25">
      <c r="A65" s="96"/>
      <c r="B65" s="97"/>
      <c r="C65" s="97"/>
      <c r="D65" s="97"/>
      <c r="E65" s="104"/>
      <c r="F65" s="104"/>
      <c r="G65" s="98"/>
      <c r="H65" s="99"/>
      <c r="I65" s="214">
        <v>2</v>
      </c>
      <c r="J65" s="63">
        <v>1</v>
      </c>
      <c r="K65" s="63"/>
      <c r="L65" s="63"/>
      <c r="M65" s="63"/>
      <c r="N65" s="63"/>
      <c r="O65" s="63"/>
      <c r="P65" s="63"/>
      <c r="Q65" s="63"/>
      <c r="R65" s="63"/>
      <c r="S65" s="251">
        <v>1</v>
      </c>
      <c r="T65" s="247">
        <f t="shared" si="6"/>
        <v>2</v>
      </c>
      <c r="U65" s="93">
        <f t="shared" si="5"/>
        <v>9.6292729898892631E-4</v>
      </c>
      <c r="V65" s="203" t="s">
        <v>3</v>
      </c>
      <c r="W65" s="105"/>
    </row>
    <row r="66" spans="1:23" ht="15.75" x14ac:dyDescent="0.25">
      <c r="A66" s="96"/>
      <c r="B66" s="97"/>
      <c r="C66" s="97"/>
      <c r="D66" s="97"/>
      <c r="E66" s="97"/>
      <c r="F66" s="104"/>
      <c r="G66" s="98"/>
      <c r="H66" s="99"/>
      <c r="I66" s="214">
        <v>16</v>
      </c>
      <c r="J66" s="63">
        <v>1</v>
      </c>
      <c r="K66" s="63"/>
      <c r="L66" s="63"/>
      <c r="M66" s="63"/>
      <c r="N66" s="63"/>
      <c r="O66" s="63"/>
      <c r="P66" s="63"/>
      <c r="Q66" s="63"/>
      <c r="R66" s="63"/>
      <c r="S66" s="251"/>
      <c r="T66" s="247">
        <f t="shared" si="6"/>
        <v>1</v>
      </c>
      <c r="U66" s="93">
        <f t="shared" si="5"/>
        <v>4.8146364949446316E-4</v>
      </c>
      <c r="V66" s="203" t="s">
        <v>7</v>
      </c>
      <c r="W66" s="106"/>
    </row>
    <row r="67" spans="1:23" ht="15.75" x14ac:dyDescent="0.25">
      <c r="A67" s="96"/>
      <c r="B67" s="97"/>
      <c r="C67" s="97"/>
      <c r="D67" s="97"/>
      <c r="E67" s="97"/>
      <c r="F67" s="104"/>
      <c r="G67" s="98"/>
      <c r="H67" s="99"/>
      <c r="I67" s="214">
        <v>1</v>
      </c>
      <c r="J67" s="63">
        <v>1</v>
      </c>
      <c r="K67" s="63"/>
      <c r="L67" s="63"/>
      <c r="M67" s="63"/>
      <c r="N67" s="63"/>
      <c r="O67" s="63"/>
      <c r="P67" s="63"/>
      <c r="Q67" s="63"/>
      <c r="R67" s="63"/>
      <c r="S67" s="251"/>
      <c r="T67" s="247">
        <f t="shared" si="6"/>
        <v>1</v>
      </c>
      <c r="U67" s="93">
        <f t="shared" si="5"/>
        <v>4.8146364949446316E-4</v>
      </c>
      <c r="V67" s="203" t="s">
        <v>8</v>
      </c>
      <c r="W67" s="354"/>
    </row>
    <row r="68" spans="1:23" ht="15.75" x14ac:dyDescent="0.25">
      <c r="A68" s="96"/>
      <c r="B68" s="97"/>
      <c r="C68" s="97"/>
      <c r="D68" s="97"/>
      <c r="E68" s="97"/>
      <c r="F68" s="104"/>
      <c r="G68" s="98"/>
      <c r="H68" s="99"/>
      <c r="I68" s="214">
        <v>1</v>
      </c>
      <c r="J68" s="63"/>
      <c r="K68" s="63"/>
      <c r="L68" s="63"/>
      <c r="M68" s="63"/>
      <c r="N68" s="63"/>
      <c r="O68" s="63"/>
      <c r="P68" s="63"/>
      <c r="Q68" s="63"/>
      <c r="R68" s="63"/>
      <c r="S68" s="251"/>
      <c r="T68" s="247">
        <f t="shared" si="6"/>
        <v>0</v>
      </c>
      <c r="U68" s="93">
        <f t="shared" si="5"/>
        <v>0</v>
      </c>
      <c r="V68" s="203" t="s">
        <v>77</v>
      </c>
      <c r="W68" s="354" t="s">
        <v>198</v>
      </c>
    </row>
    <row r="69" spans="1:23" ht="15.75" x14ac:dyDescent="0.25">
      <c r="A69" s="96"/>
      <c r="B69" s="97"/>
      <c r="C69" s="97"/>
      <c r="D69" s="97"/>
      <c r="E69" s="97"/>
      <c r="F69" s="104"/>
      <c r="G69" s="98"/>
      <c r="H69" s="99"/>
      <c r="I69" s="214">
        <v>1</v>
      </c>
      <c r="J69" s="63"/>
      <c r="K69" s="63"/>
      <c r="L69" s="63"/>
      <c r="M69" s="63"/>
      <c r="N69" s="63"/>
      <c r="O69" s="63"/>
      <c r="P69" s="63"/>
      <c r="Q69" s="63"/>
      <c r="R69" s="63"/>
      <c r="S69" s="251"/>
      <c r="T69" s="247">
        <f t="shared" si="6"/>
        <v>0</v>
      </c>
      <c r="U69" s="93">
        <f t="shared" si="5"/>
        <v>0</v>
      </c>
      <c r="V69" s="203" t="s">
        <v>19</v>
      </c>
      <c r="W69" s="354" t="s">
        <v>218</v>
      </c>
    </row>
    <row r="70" spans="1:23" ht="15.75" x14ac:dyDescent="0.25">
      <c r="A70" s="96"/>
      <c r="B70" s="97"/>
      <c r="C70" s="97"/>
      <c r="D70" s="97"/>
      <c r="E70" s="97"/>
      <c r="F70" s="104"/>
      <c r="G70" s="98"/>
      <c r="H70" s="99"/>
      <c r="I70" s="214"/>
      <c r="J70" s="63"/>
      <c r="K70" s="63"/>
      <c r="L70" s="63"/>
      <c r="M70" s="63"/>
      <c r="N70" s="63"/>
      <c r="O70" s="63"/>
      <c r="P70" s="63"/>
      <c r="Q70" s="63"/>
      <c r="R70" s="63"/>
      <c r="S70" s="251"/>
      <c r="T70" s="247">
        <f t="shared" si="6"/>
        <v>0</v>
      </c>
      <c r="U70" s="93">
        <f t="shared" si="5"/>
        <v>0</v>
      </c>
      <c r="V70" s="203" t="s">
        <v>78</v>
      </c>
      <c r="W70" s="354"/>
    </row>
    <row r="71" spans="1:23" ht="15.75" x14ac:dyDescent="0.25">
      <c r="A71" s="96"/>
      <c r="B71" s="97"/>
      <c r="C71" s="97"/>
      <c r="D71" s="97"/>
      <c r="E71" s="97"/>
      <c r="F71" s="104"/>
      <c r="G71" s="98"/>
      <c r="H71" s="99"/>
      <c r="I71" s="214"/>
      <c r="J71" s="63"/>
      <c r="K71" s="63"/>
      <c r="L71" s="63"/>
      <c r="M71" s="63"/>
      <c r="N71" s="63"/>
      <c r="O71" s="63"/>
      <c r="P71" s="63"/>
      <c r="Q71" s="63"/>
      <c r="R71" s="63"/>
      <c r="S71" s="251"/>
      <c r="T71" s="247">
        <f t="shared" si="6"/>
        <v>0</v>
      </c>
      <c r="U71" s="93">
        <f t="shared" si="5"/>
        <v>0</v>
      </c>
      <c r="V71" s="332" t="s">
        <v>170</v>
      </c>
      <c r="W71" s="354"/>
    </row>
    <row r="72" spans="1:23" ht="15.75" x14ac:dyDescent="0.25">
      <c r="A72" s="96"/>
      <c r="B72" s="97"/>
      <c r="C72" s="97"/>
      <c r="D72" s="97"/>
      <c r="E72" s="104"/>
      <c r="F72" s="104"/>
      <c r="G72" s="98"/>
      <c r="H72" s="99"/>
      <c r="I72" s="214">
        <v>18</v>
      </c>
      <c r="J72" s="63">
        <v>1</v>
      </c>
      <c r="K72" s="63"/>
      <c r="L72" s="63"/>
      <c r="M72" s="63"/>
      <c r="N72" s="63"/>
      <c r="O72" s="63"/>
      <c r="P72" s="63"/>
      <c r="Q72" s="63"/>
      <c r="R72" s="63"/>
      <c r="S72" s="251"/>
      <c r="T72" s="247">
        <f t="shared" si="6"/>
        <v>1</v>
      </c>
      <c r="U72" s="93">
        <f t="shared" si="5"/>
        <v>4.8146364949446316E-4</v>
      </c>
      <c r="V72" s="203" t="s">
        <v>12</v>
      </c>
      <c r="W72" s="326"/>
    </row>
    <row r="73" spans="1:23" ht="15.75" x14ac:dyDescent="0.25">
      <c r="A73" s="96"/>
      <c r="B73" s="97"/>
      <c r="C73" s="97"/>
      <c r="D73" s="97"/>
      <c r="E73" s="104"/>
      <c r="F73" s="104"/>
      <c r="G73" s="98"/>
      <c r="H73" s="99"/>
      <c r="I73" s="63">
        <v>6</v>
      </c>
      <c r="J73" s="63"/>
      <c r="K73" s="63"/>
      <c r="L73" s="63"/>
      <c r="M73" s="63"/>
      <c r="N73" s="63"/>
      <c r="O73" s="63"/>
      <c r="P73" s="63"/>
      <c r="Q73" s="63"/>
      <c r="R73" s="63"/>
      <c r="S73" s="251"/>
      <c r="T73" s="247">
        <f t="shared" si="6"/>
        <v>0</v>
      </c>
      <c r="U73" s="93">
        <f t="shared" si="5"/>
        <v>0</v>
      </c>
      <c r="V73" s="204" t="s">
        <v>164</v>
      </c>
      <c r="W73" s="354"/>
    </row>
    <row r="74" spans="1:23" ht="15.75" x14ac:dyDescent="0.25">
      <c r="A74" s="96"/>
      <c r="B74" s="97"/>
      <c r="C74" s="97"/>
      <c r="D74" s="97"/>
      <c r="E74" s="104"/>
      <c r="F74" s="104"/>
      <c r="G74" s="98"/>
      <c r="H74" s="99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251"/>
      <c r="T74" s="247">
        <f t="shared" si="6"/>
        <v>0</v>
      </c>
      <c r="U74" s="93">
        <f t="shared" si="5"/>
        <v>0</v>
      </c>
      <c r="V74" s="204" t="s">
        <v>92</v>
      </c>
      <c r="W74" s="326"/>
    </row>
    <row r="75" spans="1:23" ht="16.5" thickBot="1" x14ac:dyDescent="0.3">
      <c r="A75" s="96"/>
      <c r="B75" s="97"/>
      <c r="C75" s="97"/>
      <c r="D75" s="97"/>
      <c r="E75" s="104"/>
      <c r="F75" s="104"/>
      <c r="G75" s="98"/>
      <c r="H75" s="107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254">
        <v>4</v>
      </c>
      <c r="T75" s="248">
        <f t="shared" si="6"/>
        <v>4</v>
      </c>
      <c r="U75" s="299">
        <f t="shared" si="5"/>
        <v>1.9258545979778526E-3</v>
      </c>
      <c r="V75" s="357" t="s">
        <v>9</v>
      </c>
      <c r="W75" s="326"/>
    </row>
    <row r="76" spans="1:23" ht="16.5" thickBot="1" x14ac:dyDescent="0.3">
      <c r="A76" s="96"/>
      <c r="B76" s="97"/>
      <c r="C76" s="97"/>
      <c r="D76" s="97"/>
      <c r="E76" s="104"/>
      <c r="F76" s="104"/>
      <c r="G76" s="98"/>
      <c r="H76" s="82"/>
      <c r="I76" s="83"/>
      <c r="J76" s="240"/>
      <c r="K76" s="83"/>
      <c r="L76" s="83"/>
      <c r="M76" s="83"/>
      <c r="N76" s="83"/>
      <c r="O76" s="83"/>
      <c r="P76" s="83"/>
      <c r="Q76" s="83"/>
      <c r="R76" s="83"/>
      <c r="S76" s="83"/>
      <c r="T76" s="246"/>
      <c r="U76" s="246"/>
      <c r="V76" s="208" t="s">
        <v>153</v>
      </c>
      <c r="W76" s="354" t="s">
        <v>214</v>
      </c>
    </row>
    <row r="77" spans="1:23" ht="15.75" x14ac:dyDescent="0.25">
      <c r="A77" s="96"/>
      <c r="B77" s="97"/>
      <c r="C77" s="97"/>
      <c r="D77" s="97"/>
      <c r="E77" s="104"/>
      <c r="F77" s="104"/>
      <c r="G77" s="109"/>
      <c r="H77" s="90">
        <v>9</v>
      </c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250"/>
      <c r="T77" s="249">
        <f t="shared" ref="T77:T78" si="7">SUM(H77,J77,L77,N77,P77,R77,S77)</f>
        <v>9</v>
      </c>
      <c r="U77" s="183">
        <f t="shared" si="5"/>
        <v>4.3331728454501688E-3</v>
      </c>
      <c r="V77" s="202" t="s">
        <v>89</v>
      </c>
      <c r="W77" s="354" t="s">
        <v>206</v>
      </c>
    </row>
    <row r="78" spans="1:23" ht="15.75" x14ac:dyDescent="0.25">
      <c r="A78" s="96"/>
      <c r="B78" s="97"/>
      <c r="C78" s="97"/>
      <c r="D78" s="97"/>
      <c r="E78" s="104"/>
      <c r="F78" s="104"/>
      <c r="G78" s="109"/>
      <c r="H78" s="99">
        <v>1</v>
      </c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251"/>
      <c r="T78" s="247">
        <f t="shared" si="7"/>
        <v>1</v>
      </c>
      <c r="U78" s="183">
        <f t="shared" si="5"/>
        <v>4.8146364949446316E-4</v>
      </c>
      <c r="V78" s="203" t="s">
        <v>83</v>
      </c>
      <c r="W78" s="354" t="s">
        <v>216</v>
      </c>
    </row>
    <row r="79" spans="1:23" x14ac:dyDescent="0.25">
      <c r="A79" s="96"/>
      <c r="B79" s="97"/>
      <c r="C79" s="97"/>
      <c r="D79" s="97"/>
      <c r="E79" s="104"/>
      <c r="F79" s="104"/>
      <c r="G79" s="109"/>
      <c r="H79" s="99">
        <v>1</v>
      </c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251"/>
      <c r="T79" s="247">
        <f t="shared" ref="T79:T85" si="8">SUM(H79,J79,L79,N79,P79,R79,S79)</f>
        <v>1</v>
      </c>
      <c r="U79" s="183">
        <f t="shared" si="5"/>
        <v>4.8146364949446316E-4</v>
      </c>
      <c r="V79" s="355" t="s">
        <v>167</v>
      </c>
      <c r="W79" s="354" t="s">
        <v>215</v>
      </c>
    </row>
    <row r="80" spans="1:23" ht="15.75" x14ac:dyDescent="0.25">
      <c r="A80" s="96"/>
      <c r="B80" s="97"/>
      <c r="C80" s="97"/>
      <c r="D80" s="97"/>
      <c r="E80" s="104"/>
      <c r="F80" s="104"/>
      <c r="G80" s="109"/>
      <c r="H80" s="99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251"/>
      <c r="T80" s="247">
        <f t="shared" si="8"/>
        <v>0</v>
      </c>
      <c r="U80" s="183">
        <f t="shared" si="5"/>
        <v>0</v>
      </c>
      <c r="V80" s="203" t="s">
        <v>71</v>
      </c>
      <c r="W80" s="326" t="s">
        <v>217</v>
      </c>
    </row>
    <row r="81" spans="1:23" ht="15.75" x14ac:dyDescent="0.25">
      <c r="A81" s="96"/>
      <c r="B81" s="97"/>
      <c r="C81" s="97"/>
      <c r="D81" s="97"/>
      <c r="E81" s="104"/>
      <c r="F81" s="104"/>
      <c r="G81" s="109"/>
      <c r="H81" s="99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251"/>
      <c r="T81" s="247">
        <f t="shared" si="8"/>
        <v>0</v>
      </c>
      <c r="U81" s="183">
        <f t="shared" si="5"/>
        <v>0</v>
      </c>
      <c r="V81" s="204" t="s">
        <v>84</v>
      </c>
      <c r="W81" s="326"/>
    </row>
    <row r="82" spans="1:23" ht="15.75" x14ac:dyDescent="0.25">
      <c r="A82" s="96"/>
      <c r="B82" s="97"/>
      <c r="C82" s="97"/>
      <c r="D82" s="97"/>
      <c r="E82" s="104"/>
      <c r="F82" s="104"/>
      <c r="G82" s="109"/>
      <c r="H82" s="99">
        <v>1</v>
      </c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251"/>
      <c r="T82" s="247">
        <f t="shared" si="8"/>
        <v>1</v>
      </c>
      <c r="U82" s="183">
        <f t="shared" si="5"/>
        <v>4.8146364949446316E-4</v>
      </c>
      <c r="V82" s="204" t="s">
        <v>26</v>
      </c>
      <c r="W82" s="326"/>
    </row>
    <row r="83" spans="1:23" ht="15.75" x14ac:dyDescent="0.25">
      <c r="A83" s="96"/>
      <c r="B83" s="97"/>
      <c r="C83" s="97"/>
      <c r="D83" s="97"/>
      <c r="E83" s="104"/>
      <c r="F83" s="104"/>
      <c r="G83" s="109"/>
      <c r="H83" s="107">
        <v>2</v>
      </c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254"/>
      <c r="T83" s="247">
        <f t="shared" si="8"/>
        <v>2</v>
      </c>
      <c r="U83" s="183">
        <f t="shared" si="5"/>
        <v>9.6292729898892631E-4</v>
      </c>
      <c r="V83" s="207" t="s">
        <v>35</v>
      </c>
      <c r="W83" s="356"/>
    </row>
    <row r="84" spans="1:23" ht="15.75" x14ac:dyDescent="0.25">
      <c r="A84" s="96"/>
      <c r="B84" s="97"/>
      <c r="C84" s="97"/>
      <c r="D84" s="97"/>
      <c r="E84" s="104"/>
      <c r="F84" s="104"/>
      <c r="G84" s="109"/>
      <c r="H84" s="107">
        <v>1</v>
      </c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254"/>
      <c r="T84" s="247">
        <f t="shared" si="8"/>
        <v>1</v>
      </c>
      <c r="U84" s="183">
        <f t="shared" si="5"/>
        <v>4.8146364949446316E-4</v>
      </c>
      <c r="V84" s="203" t="s">
        <v>12</v>
      </c>
      <c r="W84" s="326"/>
    </row>
    <row r="85" spans="1:23" ht="16.5" thickBot="1" x14ac:dyDescent="0.3">
      <c r="A85" s="117"/>
      <c r="B85" s="118"/>
      <c r="C85" s="118"/>
      <c r="D85" s="118"/>
      <c r="E85" s="119"/>
      <c r="F85" s="119"/>
      <c r="G85" s="120"/>
      <c r="H85" s="107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254"/>
      <c r="T85" s="247">
        <f t="shared" si="8"/>
        <v>0</v>
      </c>
      <c r="U85" s="299">
        <f t="shared" si="5"/>
        <v>0</v>
      </c>
      <c r="V85" s="205" t="s">
        <v>148</v>
      </c>
      <c r="W85" s="352"/>
    </row>
    <row r="86" spans="1:23" ht="15.75" thickBot="1" x14ac:dyDescent="0.3">
      <c r="A86" s="122"/>
      <c r="B86" s="122"/>
      <c r="C86" s="122"/>
      <c r="D86" s="122"/>
      <c r="E86" s="122"/>
      <c r="F86" s="122"/>
      <c r="G86" s="47" t="s">
        <v>4</v>
      </c>
      <c r="H86" s="123">
        <f t="shared" ref="H86:S86" si="9">SUM(H47:H85)</f>
        <v>157</v>
      </c>
      <c r="I86" s="123">
        <f t="shared" si="9"/>
        <v>50</v>
      </c>
      <c r="J86" s="123">
        <f t="shared" si="9"/>
        <v>14</v>
      </c>
      <c r="K86" s="123">
        <f t="shared" si="9"/>
        <v>0</v>
      </c>
      <c r="L86" s="123">
        <f t="shared" si="9"/>
        <v>0</v>
      </c>
      <c r="M86" s="123">
        <f t="shared" si="9"/>
        <v>0</v>
      </c>
      <c r="N86" s="123">
        <f t="shared" si="9"/>
        <v>0</v>
      </c>
      <c r="O86" s="123">
        <f t="shared" si="9"/>
        <v>0</v>
      </c>
      <c r="P86" s="123">
        <f t="shared" si="9"/>
        <v>0</v>
      </c>
      <c r="Q86" s="123">
        <f t="shared" si="9"/>
        <v>0</v>
      </c>
      <c r="R86" s="123">
        <f t="shared" si="9"/>
        <v>3</v>
      </c>
      <c r="S86" s="123">
        <f t="shared" si="9"/>
        <v>44</v>
      </c>
      <c r="T86" s="198">
        <f>SUM(H86,J86,L86,N86,P86,R86,S86)</f>
        <v>218</v>
      </c>
      <c r="U86" s="333">
        <f t="shared" si="5"/>
        <v>0.10495907558979298</v>
      </c>
      <c r="V86" s="40"/>
    </row>
    <row r="88" spans="1:23" ht="15.75" thickBot="1" x14ac:dyDescent="0.3"/>
    <row r="89" spans="1:23" ht="75.75" thickBot="1" x14ac:dyDescent="0.3">
      <c r="A89" s="42" t="s">
        <v>22</v>
      </c>
      <c r="B89" s="42" t="s">
        <v>47</v>
      </c>
      <c r="C89" s="43" t="s">
        <v>52</v>
      </c>
      <c r="D89" s="43" t="s">
        <v>17</v>
      </c>
      <c r="E89" s="42" t="s">
        <v>16</v>
      </c>
      <c r="F89" s="44" t="s">
        <v>1</v>
      </c>
      <c r="G89" s="45" t="s">
        <v>23</v>
      </c>
      <c r="H89" s="46" t="s">
        <v>72</v>
      </c>
      <c r="I89" s="46" t="s">
        <v>73</v>
      </c>
      <c r="J89" s="46" t="s">
        <v>53</v>
      </c>
      <c r="K89" s="46" t="s">
        <v>58</v>
      </c>
      <c r="L89" s="46" t="s">
        <v>54</v>
      </c>
      <c r="M89" s="46" t="s">
        <v>59</v>
      </c>
      <c r="N89" s="46" t="s">
        <v>55</v>
      </c>
      <c r="O89" s="46" t="s">
        <v>60</v>
      </c>
      <c r="P89" s="46" t="s">
        <v>56</v>
      </c>
      <c r="Q89" s="46" t="s">
        <v>74</v>
      </c>
      <c r="R89" s="46" t="s">
        <v>115</v>
      </c>
      <c r="S89" s="46" t="s">
        <v>41</v>
      </c>
      <c r="T89" s="46" t="s">
        <v>4</v>
      </c>
      <c r="U89" s="42" t="s">
        <v>2</v>
      </c>
      <c r="V89" s="80" t="s">
        <v>20</v>
      </c>
      <c r="W89" s="81" t="s">
        <v>6</v>
      </c>
    </row>
    <row r="90" spans="1:23" ht="15.75" thickBot="1" x14ac:dyDescent="0.3">
      <c r="A90" s="316">
        <v>1512002</v>
      </c>
      <c r="B90" s="209" t="s">
        <v>110</v>
      </c>
      <c r="C90" s="316">
        <v>1920</v>
      </c>
      <c r="D90" s="316">
        <v>2139</v>
      </c>
      <c r="E90" s="321">
        <v>1848</v>
      </c>
      <c r="F90" s="322">
        <f>E90/D90</f>
        <v>0.86395511921458623</v>
      </c>
      <c r="G90" s="48">
        <v>45300</v>
      </c>
      <c r="H90" s="82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4"/>
      <c r="T90" s="296"/>
      <c r="U90" s="115"/>
      <c r="V90" s="86" t="s">
        <v>75</v>
      </c>
      <c r="W90" s="353" t="s">
        <v>70</v>
      </c>
    </row>
    <row r="91" spans="1:23" ht="15.75" x14ac:dyDescent="0.25">
      <c r="A91" s="87"/>
      <c r="B91" s="88"/>
      <c r="C91" s="88"/>
      <c r="D91" s="88"/>
      <c r="E91" s="88"/>
      <c r="F91" s="88"/>
      <c r="G91" s="89"/>
      <c r="H91" s="90">
        <v>13</v>
      </c>
      <c r="I91" s="91"/>
      <c r="J91" s="91">
        <v>1</v>
      </c>
      <c r="K91" s="91"/>
      <c r="L91" s="91"/>
      <c r="M91" s="91"/>
      <c r="N91" s="91"/>
      <c r="O91" s="91"/>
      <c r="P91" s="91"/>
      <c r="Q91" s="91"/>
      <c r="R91" s="91"/>
      <c r="S91" s="250">
        <v>11</v>
      </c>
      <c r="T91" s="249">
        <f>SUM(H91,J91,L91,N91,P91,R91,S91)</f>
        <v>25</v>
      </c>
      <c r="U91" s="349">
        <f>($T91)/$D$90</f>
        <v>1.168770453482936E-2</v>
      </c>
      <c r="V91" s="202" t="s">
        <v>15</v>
      </c>
      <c r="W91" s="210" t="s">
        <v>120</v>
      </c>
    </row>
    <row r="92" spans="1:23" ht="15.75" x14ac:dyDescent="0.25">
      <c r="A92" s="96"/>
      <c r="B92" s="97"/>
      <c r="C92" s="97"/>
      <c r="D92" s="97"/>
      <c r="E92" s="97"/>
      <c r="F92" s="97"/>
      <c r="G92" s="98"/>
      <c r="H92" s="348"/>
      <c r="I92" s="111"/>
      <c r="J92" s="111">
        <v>1</v>
      </c>
      <c r="K92" s="111"/>
      <c r="L92" s="111"/>
      <c r="M92" s="111"/>
      <c r="N92" s="111"/>
      <c r="O92" s="111"/>
      <c r="P92" s="111"/>
      <c r="Q92" s="111"/>
      <c r="R92" s="111"/>
      <c r="S92" s="253"/>
      <c r="T92" s="249">
        <f>SUM(H92,J92,L92,N92,P92,R92,S92)</f>
        <v>1</v>
      </c>
      <c r="U92" s="299">
        <f t="shared" ref="U92:U130" si="10">($T92)/$D$90</f>
        <v>4.675081813931744E-4</v>
      </c>
      <c r="V92" s="206" t="s">
        <v>43</v>
      </c>
      <c r="W92" s="210" t="s">
        <v>154</v>
      </c>
    </row>
    <row r="93" spans="1:23" ht="15.75" x14ac:dyDescent="0.25">
      <c r="A93" s="96"/>
      <c r="B93" s="97"/>
      <c r="C93" s="97"/>
      <c r="D93" s="97"/>
      <c r="E93" s="97"/>
      <c r="F93" s="97"/>
      <c r="G93" s="98"/>
      <c r="H93" s="99">
        <v>62</v>
      </c>
      <c r="I93" s="63"/>
      <c r="J93" s="63">
        <v>2</v>
      </c>
      <c r="K93" s="63"/>
      <c r="L93" s="63"/>
      <c r="M93" s="63"/>
      <c r="N93" s="63"/>
      <c r="O93" s="63"/>
      <c r="P93" s="63"/>
      <c r="Q93" s="63"/>
      <c r="R93" s="63"/>
      <c r="S93" s="251">
        <v>1</v>
      </c>
      <c r="T93" s="247">
        <f t="shared" ref="T93:T119" si="11">SUM(H93,J93,L93,N93,P93,R93,S93)</f>
        <v>65</v>
      </c>
      <c r="U93" s="93">
        <f t="shared" si="10"/>
        <v>3.0388031790556335E-2</v>
      </c>
      <c r="V93" s="203" t="s">
        <v>5</v>
      </c>
      <c r="W93" s="351"/>
    </row>
    <row r="94" spans="1:23" ht="15.75" x14ac:dyDescent="0.25">
      <c r="A94" s="96"/>
      <c r="B94" s="97"/>
      <c r="C94" s="97"/>
      <c r="D94" s="97"/>
      <c r="E94" s="104"/>
      <c r="F94" s="104"/>
      <c r="G94" s="98"/>
      <c r="H94" s="99">
        <v>42</v>
      </c>
      <c r="I94" s="63"/>
      <c r="J94" s="63">
        <v>6</v>
      </c>
      <c r="K94" s="63"/>
      <c r="L94" s="63"/>
      <c r="M94" s="63"/>
      <c r="N94" s="63"/>
      <c r="O94" s="63"/>
      <c r="P94" s="63"/>
      <c r="Q94" s="63"/>
      <c r="R94" s="63"/>
      <c r="S94" s="251">
        <v>1</v>
      </c>
      <c r="T94" s="247">
        <f t="shared" si="11"/>
        <v>49</v>
      </c>
      <c r="U94" s="93">
        <f t="shared" si="10"/>
        <v>2.2907900888265546E-2</v>
      </c>
      <c r="V94" s="203" t="s">
        <v>13</v>
      </c>
      <c r="W94" s="244"/>
    </row>
    <row r="95" spans="1:23" ht="15.75" x14ac:dyDescent="0.25">
      <c r="A95" s="96"/>
      <c r="B95" s="97"/>
      <c r="C95" s="97"/>
      <c r="D95" s="97"/>
      <c r="E95" s="104"/>
      <c r="F95" s="104"/>
      <c r="G95" s="98"/>
      <c r="H95" s="99">
        <v>4</v>
      </c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251">
        <v>1</v>
      </c>
      <c r="T95" s="247">
        <f t="shared" si="11"/>
        <v>5</v>
      </c>
      <c r="U95" s="93">
        <f t="shared" si="10"/>
        <v>2.3375409069658717E-3</v>
      </c>
      <c r="V95" s="203" t="s">
        <v>14</v>
      </c>
      <c r="W95" s="311"/>
    </row>
    <row r="96" spans="1:23" ht="15.75" x14ac:dyDescent="0.25">
      <c r="A96" s="96"/>
      <c r="B96" s="97"/>
      <c r="C96" s="97"/>
      <c r="D96" s="97"/>
      <c r="E96" s="104"/>
      <c r="F96" s="104"/>
      <c r="G96" s="98"/>
      <c r="H96" s="99">
        <v>5</v>
      </c>
      <c r="I96" s="63"/>
      <c r="J96" s="63">
        <v>7</v>
      </c>
      <c r="K96" s="63"/>
      <c r="L96" s="63"/>
      <c r="M96" s="63"/>
      <c r="N96" s="63"/>
      <c r="O96" s="63"/>
      <c r="P96" s="63"/>
      <c r="Q96" s="63"/>
      <c r="R96" s="63"/>
      <c r="S96" s="251"/>
      <c r="T96" s="247">
        <f t="shared" si="11"/>
        <v>12</v>
      </c>
      <c r="U96" s="93">
        <f t="shared" si="10"/>
        <v>5.6100981767180924E-3</v>
      </c>
      <c r="V96" s="203" t="s">
        <v>30</v>
      </c>
      <c r="W96" s="311"/>
    </row>
    <row r="97" spans="1:23" ht="15.75" x14ac:dyDescent="0.25">
      <c r="A97" s="96"/>
      <c r="B97" s="97"/>
      <c r="C97" s="97"/>
      <c r="D97" s="97"/>
      <c r="E97" s="104"/>
      <c r="F97" s="104"/>
      <c r="G97" s="98"/>
      <c r="H97" s="99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251"/>
      <c r="T97" s="247">
        <f t="shared" si="11"/>
        <v>0</v>
      </c>
      <c r="U97" s="93">
        <f t="shared" si="10"/>
        <v>0</v>
      </c>
      <c r="V97" s="203" t="s">
        <v>31</v>
      </c>
      <c r="W97" s="105"/>
    </row>
    <row r="98" spans="1:23" ht="15.75" x14ac:dyDescent="0.25">
      <c r="A98" s="96"/>
      <c r="B98" s="97"/>
      <c r="C98" s="97"/>
      <c r="D98" s="97"/>
      <c r="E98" s="104"/>
      <c r="F98" s="104"/>
      <c r="G98" s="98"/>
      <c r="H98" s="99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251"/>
      <c r="T98" s="247">
        <f t="shared" si="11"/>
        <v>0</v>
      </c>
      <c r="U98" s="93">
        <f t="shared" si="10"/>
        <v>0</v>
      </c>
      <c r="V98" s="203" t="s">
        <v>168</v>
      </c>
      <c r="W98" s="323"/>
    </row>
    <row r="99" spans="1:23" ht="15.75" x14ac:dyDescent="0.25">
      <c r="A99" s="96"/>
      <c r="B99" s="97"/>
      <c r="C99" s="97"/>
      <c r="D99" s="97"/>
      <c r="E99" s="104"/>
      <c r="F99" s="104"/>
      <c r="G99" s="98"/>
      <c r="H99" s="99">
        <v>1</v>
      </c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251"/>
      <c r="T99" s="247">
        <f t="shared" si="11"/>
        <v>1</v>
      </c>
      <c r="U99" s="93">
        <f t="shared" si="10"/>
        <v>4.675081813931744E-4</v>
      </c>
      <c r="V99" s="204" t="s">
        <v>202</v>
      </c>
      <c r="W99" s="105"/>
    </row>
    <row r="100" spans="1:23" ht="15.75" x14ac:dyDescent="0.25">
      <c r="A100" s="96"/>
      <c r="B100" s="97"/>
      <c r="C100" s="97"/>
      <c r="D100" s="97"/>
      <c r="E100" s="104"/>
      <c r="F100" s="104"/>
      <c r="G100" s="98"/>
      <c r="H100" s="99">
        <v>1</v>
      </c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251">
        <v>1</v>
      </c>
      <c r="T100" s="247">
        <f t="shared" si="11"/>
        <v>2</v>
      </c>
      <c r="U100" s="93">
        <f t="shared" si="10"/>
        <v>9.3501636278634881E-4</v>
      </c>
      <c r="V100" s="203" t="s">
        <v>0</v>
      </c>
      <c r="W100" s="354"/>
    </row>
    <row r="101" spans="1:23" ht="15.75" x14ac:dyDescent="0.25">
      <c r="A101" s="96"/>
      <c r="B101" s="97"/>
      <c r="C101" s="97"/>
      <c r="D101" s="97"/>
      <c r="E101" s="104"/>
      <c r="F101" s="104"/>
      <c r="G101" s="98"/>
      <c r="H101" s="99">
        <v>14</v>
      </c>
      <c r="I101" s="63"/>
      <c r="J101" s="63">
        <v>4</v>
      </c>
      <c r="K101" s="63"/>
      <c r="L101" s="63"/>
      <c r="M101" s="63"/>
      <c r="N101" s="63"/>
      <c r="O101" s="63"/>
      <c r="P101" s="63"/>
      <c r="Q101" s="63"/>
      <c r="R101" s="63"/>
      <c r="S101" s="251">
        <v>2</v>
      </c>
      <c r="T101" s="247">
        <f t="shared" si="11"/>
        <v>20</v>
      </c>
      <c r="U101" s="93">
        <f t="shared" si="10"/>
        <v>9.3501636278634868E-3</v>
      </c>
      <c r="V101" s="203" t="s">
        <v>11</v>
      </c>
      <c r="W101" s="354"/>
    </row>
    <row r="102" spans="1:23" ht="15.75" x14ac:dyDescent="0.25">
      <c r="A102" s="96"/>
      <c r="B102" s="97"/>
      <c r="C102" s="97"/>
      <c r="D102" s="97"/>
      <c r="E102" s="104"/>
      <c r="F102" s="104" t="s">
        <v>100</v>
      </c>
      <c r="G102" s="98"/>
      <c r="H102" s="99">
        <v>56</v>
      </c>
      <c r="I102" s="63"/>
      <c r="J102" s="63">
        <v>1</v>
      </c>
      <c r="K102" s="63"/>
      <c r="L102" s="63"/>
      <c r="M102" s="63"/>
      <c r="N102" s="63"/>
      <c r="O102" s="63"/>
      <c r="P102" s="63"/>
      <c r="Q102" s="63"/>
      <c r="R102" s="63">
        <v>1</v>
      </c>
      <c r="S102" s="251">
        <v>13</v>
      </c>
      <c r="T102" s="247">
        <f t="shared" si="11"/>
        <v>71</v>
      </c>
      <c r="U102" s="93">
        <f t="shared" si="10"/>
        <v>3.3193080878915378E-2</v>
      </c>
      <c r="V102" s="203" t="s">
        <v>33</v>
      </c>
      <c r="W102" s="326"/>
    </row>
    <row r="103" spans="1:23" ht="15.75" x14ac:dyDescent="0.25">
      <c r="A103" s="96"/>
      <c r="B103" s="97"/>
      <c r="C103" s="97"/>
      <c r="D103" s="97"/>
      <c r="E103" s="104"/>
      <c r="F103" s="104"/>
      <c r="G103" s="98"/>
      <c r="H103" s="99"/>
      <c r="I103" s="63"/>
      <c r="J103" s="63">
        <v>6</v>
      </c>
      <c r="K103" s="63"/>
      <c r="L103" s="63"/>
      <c r="M103" s="63"/>
      <c r="N103" s="63"/>
      <c r="O103" s="63"/>
      <c r="P103" s="63"/>
      <c r="Q103" s="63"/>
      <c r="R103" s="63">
        <v>1</v>
      </c>
      <c r="S103" s="251">
        <v>2</v>
      </c>
      <c r="T103" s="247">
        <f t="shared" si="11"/>
        <v>9</v>
      </c>
      <c r="U103" s="93">
        <f t="shared" si="10"/>
        <v>4.2075736325385693E-3</v>
      </c>
      <c r="V103" s="204" t="s">
        <v>27</v>
      </c>
      <c r="W103" s="354"/>
    </row>
    <row r="104" spans="1:23" ht="15.75" x14ac:dyDescent="0.25">
      <c r="A104" s="96"/>
      <c r="B104" s="97"/>
      <c r="C104" s="97"/>
      <c r="D104" s="97"/>
      <c r="E104" s="104"/>
      <c r="F104" s="104"/>
      <c r="G104" s="109"/>
      <c r="H104" s="110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251"/>
      <c r="T104" s="247">
        <f t="shared" si="11"/>
        <v>0</v>
      </c>
      <c r="U104" s="93">
        <f t="shared" si="10"/>
        <v>0</v>
      </c>
      <c r="V104" s="204" t="s">
        <v>26</v>
      </c>
      <c r="W104" s="212"/>
    </row>
    <row r="105" spans="1:23" ht="15.75" x14ac:dyDescent="0.25">
      <c r="A105" s="96"/>
      <c r="B105" s="97"/>
      <c r="C105" s="97"/>
      <c r="D105" s="97"/>
      <c r="E105" s="104"/>
      <c r="F105" s="104"/>
      <c r="G105" s="109"/>
      <c r="H105" s="110">
        <v>2</v>
      </c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251"/>
      <c r="T105" s="247">
        <f t="shared" si="11"/>
        <v>2</v>
      </c>
      <c r="U105" s="93">
        <f t="shared" si="10"/>
        <v>9.3501636278634881E-4</v>
      </c>
      <c r="V105" s="204" t="s">
        <v>148</v>
      </c>
      <c r="W105" s="103"/>
    </row>
    <row r="106" spans="1:23" ht="16.5" thickBot="1" x14ac:dyDescent="0.3">
      <c r="A106" s="96"/>
      <c r="B106" s="97"/>
      <c r="C106" s="97"/>
      <c r="D106" s="97"/>
      <c r="E106" s="104"/>
      <c r="F106" s="104"/>
      <c r="G106" s="109"/>
      <c r="H106" s="186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252"/>
      <c r="T106" s="248">
        <f t="shared" si="11"/>
        <v>0</v>
      </c>
      <c r="U106" s="245">
        <f t="shared" si="10"/>
        <v>0</v>
      </c>
      <c r="V106" s="205" t="s">
        <v>158</v>
      </c>
      <c r="W106" s="212"/>
    </row>
    <row r="107" spans="1:23" ht="15.75" x14ac:dyDescent="0.25">
      <c r="A107" s="96"/>
      <c r="B107" s="97"/>
      <c r="C107" s="97"/>
      <c r="D107" s="97"/>
      <c r="E107" s="104"/>
      <c r="F107" s="104"/>
      <c r="G107" s="98"/>
      <c r="H107" s="90"/>
      <c r="I107" s="111">
        <v>3</v>
      </c>
      <c r="J107" s="111"/>
      <c r="K107" s="111"/>
      <c r="L107" s="111"/>
      <c r="M107" s="111"/>
      <c r="N107" s="111"/>
      <c r="O107" s="111"/>
      <c r="P107" s="111"/>
      <c r="Q107" s="111"/>
      <c r="R107" s="111"/>
      <c r="S107" s="253"/>
      <c r="T107" s="249">
        <f t="shared" si="11"/>
        <v>0</v>
      </c>
      <c r="U107" s="183">
        <f t="shared" si="10"/>
        <v>0</v>
      </c>
      <c r="V107" s="206" t="s">
        <v>10</v>
      </c>
      <c r="W107" s="106"/>
    </row>
    <row r="108" spans="1:23" ht="15.75" x14ac:dyDescent="0.25">
      <c r="A108" s="96"/>
      <c r="B108" s="97"/>
      <c r="C108" s="97"/>
      <c r="D108" s="97"/>
      <c r="E108" s="104"/>
      <c r="F108" s="104"/>
      <c r="G108" s="98"/>
      <c r="H108" s="99"/>
      <c r="I108" s="213">
        <v>1</v>
      </c>
      <c r="J108" s="63">
        <v>1</v>
      </c>
      <c r="K108" s="63"/>
      <c r="L108" s="63"/>
      <c r="M108" s="63"/>
      <c r="N108" s="63"/>
      <c r="O108" s="63"/>
      <c r="P108" s="63"/>
      <c r="Q108" s="63"/>
      <c r="R108" s="63"/>
      <c r="S108" s="251"/>
      <c r="T108" s="247">
        <f t="shared" si="11"/>
        <v>1</v>
      </c>
      <c r="U108" s="93">
        <f t="shared" si="10"/>
        <v>4.675081813931744E-4</v>
      </c>
      <c r="V108" s="331" t="s">
        <v>94</v>
      </c>
      <c r="W108" s="106"/>
    </row>
    <row r="109" spans="1:23" ht="15.75" x14ac:dyDescent="0.25">
      <c r="A109" s="96"/>
      <c r="B109" s="97"/>
      <c r="C109" s="97"/>
      <c r="D109" s="97"/>
      <c r="E109" s="104"/>
      <c r="F109" s="104"/>
      <c r="G109" s="98"/>
      <c r="H109" s="99"/>
      <c r="I109" s="214">
        <v>1</v>
      </c>
      <c r="J109" s="63"/>
      <c r="K109" s="63"/>
      <c r="L109" s="63"/>
      <c r="M109" s="63"/>
      <c r="N109" s="63"/>
      <c r="O109" s="63"/>
      <c r="P109" s="63"/>
      <c r="Q109" s="63"/>
      <c r="R109" s="63"/>
      <c r="S109" s="251">
        <v>1</v>
      </c>
      <c r="T109" s="247">
        <f t="shared" si="11"/>
        <v>1</v>
      </c>
      <c r="U109" s="93">
        <f t="shared" si="10"/>
        <v>4.675081813931744E-4</v>
      </c>
      <c r="V109" s="203" t="s">
        <v>3</v>
      </c>
      <c r="W109" s="105"/>
    </row>
    <row r="110" spans="1:23" ht="15.75" x14ac:dyDescent="0.25">
      <c r="A110" s="96"/>
      <c r="B110" s="97"/>
      <c r="C110" s="97"/>
      <c r="D110" s="97"/>
      <c r="E110" s="97"/>
      <c r="F110" s="104"/>
      <c r="G110" s="98"/>
      <c r="H110" s="99"/>
      <c r="I110" s="214">
        <v>12</v>
      </c>
      <c r="J110" s="63">
        <v>1</v>
      </c>
      <c r="K110" s="63"/>
      <c r="L110" s="63"/>
      <c r="M110" s="63"/>
      <c r="N110" s="63"/>
      <c r="O110" s="63"/>
      <c r="P110" s="63"/>
      <c r="Q110" s="63"/>
      <c r="R110" s="63"/>
      <c r="S110" s="251"/>
      <c r="T110" s="247">
        <f t="shared" si="11"/>
        <v>1</v>
      </c>
      <c r="U110" s="93">
        <f t="shared" si="10"/>
        <v>4.675081813931744E-4</v>
      </c>
      <c r="V110" s="203" t="s">
        <v>7</v>
      </c>
      <c r="W110" s="106"/>
    </row>
    <row r="111" spans="1:23" ht="15.75" x14ac:dyDescent="0.25">
      <c r="A111" s="96"/>
      <c r="B111" s="97"/>
      <c r="C111" s="97"/>
      <c r="D111" s="97"/>
      <c r="E111" s="97"/>
      <c r="F111" s="104"/>
      <c r="G111" s="98"/>
      <c r="H111" s="99"/>
      <c r="I111" s="214"/>
      <c r="J111" s="63"/>
      <c r="K111" s="63"/>
      <c r="L111" s="63"/>
      <c r="M111" s="63"/>
      <c r="N111" s="63"/>
      <c r="O111" s="63"/>
      <c r="P111" s="63"/>
      <c r="Q111" s="63"/>
      <c r="R111" s="63"/>
      <c r="S111" s="251"/>
      <c r="T111" s="247">
        <f t="shared" si="11"/>
        <v>0</v>
      </c>
      <c r="U111" s="93">
        <f t="shared" si="10"/>
        <v>0</v>
      </c>
      <c r="V111" s="203" t="s">
        <v>8</v>
      </c>
      <c r="W111" s="354"/>
    </row>
    <row r="112" spans="1:23" ht="15.75" x14ac:dyDescent="0.25">
      <c r="A112" s="96"/>
      <c r="B112" s="97"/>
      <c r="C112" s="97"/>
      <c r="D112" s="97"/>
      <c r="E112" s="97"/>
      <c r="F112" s="104"/>
      <c r="G112" s="98"/>
      <c r="H112" s="99"/>
      <c r="I112" s="214">
        <v>4</v>
      </c>
      <c r="J112" s="63">
        <v>1</v>
      </c>
      <c r="K112" s="63"/>
      <c r="L112" s="63"/>
      <c r="M112" s="63"/>
      <c r="N112" s="63"/>
      <c r="O112" s="63"/>
      <c r="P112" s="63"/>
      <c r="Q112" s="63"/>
      <c r="R112" s="63"/>
      <c r="S112" s="251"/>
      <c r="T112" s="247">
        <f t="shared" si="11"/>
        <v>1</v>
      </c>
      <c r="U112" s="93">
        <f t="shared" si="10"/>
        <v>4.675081813931744E-4</v>
      </c>
      <c r="V112" s="203" t="s">
        <v>77</v>
      </c>
      <c r="W112" s="354" t="s">
        <v>176</v>
      </c>
    </row>
    <row r="113" spans="1:23" ht="15.75" x14ac:dyDescent="0.25">
      <c r="A113" s="96"/>
      <c r="B113" s="97"/>
      <c r="C113" s="97"/>
      <c r="D113" s="97"/>
      <c r="E113" s="97"/>
      <c r="F113" s="104"/>
      <c r="G113" s="98"/>
      <c r="H113" s="99"/>
      <c r="I113" s="214"/>
      <c r="J113" s="63"/>
      <c r="K113" s="63"/>
      <c r="L113" s="63"/>
      <c r="M113" s="63"/>
      <c r="N113" s="63"/>
      <c r="O113" s="63"/>
      <c r="P113" s="63"/>
      <c r="Q113" s="63"/>
      <c r="R113" s="63"/>
      <c r="S113" s="251"/>
      <c r="T113" s="247">
        <f t="shared" si="11"/>
        <v>0</v>
      </c>
      <c r="U113" s="93">
        <f t="shared" si="10"/>
        <v>0</v>
      </c>
      <c r="V113" s="203" t="s">
        <v>19</v>
      </c>
      <c r="W113" s="354" t="s">
        <v>225</v>
      </c>
    </row>
    <row r="114" spans="1:23" ht="15.75" x14ac:dyDescent="0.25">
      <c r="A114" s="96"/>
      <c r="B114" s="97"/>
      <c r="C114" s="97"/>
      <c r="D114" s="97"/>
      <c r="E114" s="97"/>
      <c r="F114" s="104"/>
      <c r="G114" s="98"/>
      <c r="H114" s="99"/>
      <c r="I114" s="214"/>
      <c r="J114" s="63"/>
      <c r="K114" s="63"/>
      <c r="L114" s="63"/>
      <c r="M114" s="63"/>
      <c r="N114" s="63"/>
      <c r="O114" s="63"/>
      <c r="P114" s="63"/>
      <c r="Q114" s="63"/>
      <c r="R114" s="63"/>
      <c r="S114" s="251"/>
      <c r="T114" s="247">
        <f t="shared" si="11"/>
        <v>0</v>
      </c>
      <c r="U114" s="93">
        <f t="shared" si="10"/>
        <v>0</v>
      </c>
      <c r="V114" s="203" t="s">
        <v>78</v>
      </c>
      <c r="W114" s="354"/>
    </row>
    <row r="115" spans="1:23" ht="15.75" x14ac:dyDescent="0.25">
      <c r="A115" s="96"/>
      <c r="B115" s="97"/>
      <c r="C115" s="97"/>
      <c r="D115" s="97"/>
      <c r="E115" s="97"/>
      <c r="F115" s="104"/>
      <c r="G115" s="98"/>
      <c r="H115" s="99"/>
      <c r="I115" s="214"/>
      <c r="J115" s="63"/>
      <c r="K115" s="63"/>
      <c r="L115" s="63"/>
      <c r="M115" s="63"/>
      <c r="N115" s="63"/>
      <c r="O115" s="63"/>
      <c r="P115" s="63"/>
      <c r="Q115" s="63"/>
      <c r="R115" s="63"/>
      <c r="S115" s="251"/>
      <c r="T115" s="247">
        <f t="shared" si="11"/>
        <v>0</v>
      </c>
      <c r="U115" s="93">
        <f t="shared" si="10"/>
        <v>0</v>
      </c>
      <c r="V115" s="332" t="s">
        <v>170</v>
      </c>
      <c r="W115" s="354"/>
    </row>
    <row r="116" spans="1:23" ht="15.75" x14ac:dyDescent="0.25">
      <c r="A116" s="96"/>
      <c r="B116" s="97"/>
      <c r="C116" s="97"/>
      <c r="D116" s="97"/>
      <c r="E116" s="104"/>
      <c r="F116" s="104"/>
      <c r="G116" s="98"/>
      <c r="H116" s="99"/>
      <c r="I116" s="214">
        <v>21</v>
      </c>
      <c r="J116" s="63">
        <v>1</v>
      </c>
      <c r="K116" s="63"/>
      <c r="L116" s="63"/>
      <c r="M116" s="63"/>
      <c r="N116" s="63"/>
      <c r="O116" s="63"/>
      <c r="P116" s="63"/>
      <c r="Q116" s="63"/>
      <c r="R116" s="63"/>
      <c r="S116" s="251"/>
      <c r="T116" s="247">
        <f t="shared" si="11"/>
        <v>1</v>
      </c>
      <c r="U116" s="93">
        <f t="shared" si="10"/>
        <v>4.675081813931744E-4</v>
      </c>
      <c r="V116" s="203" t="s">
        <v>12</v>
      </c>
      <c r="W116" s="326"/>
    </row>
    <row r="117" spans="1:23" ht="15.75" x14ac:dyDescent="0.25">
      <c r="A117" s="96"/>
      <c r="B117" s="97"/>
      <c r="C117" s="97"/>
      <c r="D117" s="97"/>
      <c r="E117" s="104"/>
      <c r="F117" s="104"/>
      <c r="G117" s="98"/>
      <c r="H117" s="99"/>
      <c r="I117" s="63">
        <v>4</v>
      </c>
      <c r="J117" s="63">
        <v>5</v>
      </c>
      <c r="K117" s="63"/>
      <c r="L117" s="63"/>
      <c r="M117" s="63"/>
      <c r="N117" s="63"/>
      <c r="O117" s="63"/>
      <c r="P117" s="63"/>
      <c r="Q117" s="63"/>
      <c r="R117" s="63"/>
      <c r="S117" s="251"/>
      <c r="T117" s="247">
        <f t="shared" si="11"/>
        <v>5</v>
      </c>
      <c r="U117" s="93">
        <f t="shared" si="10"/>
        <v>2.3375409069658717E-3</v>
      </c>
      <c r="V117" s="204" t="s">
        <v>164</v>
      </c>
      <c r="W117" s="354"/>
    </row>
    <row r="118" spans="1:23" ht="15.75" x14ac:dyDescent="0.25">
      <c r="A118" s="96"/>
      <c r="B118" s="97"/>
      <c r="C118" s="97"/>
      <c r="D118" s="97"/>
      <c r="E118" s="104"/>
      <c r="F118" s="104"/>
      <c r="G118" s="98"/>
      <c r="H118" s="99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251"/>
      <c r="T118" s="247">
        <f t="shared" si="11"/>
        <v>0</v>
      </c>
      <c r="U118" s="93">
        <f t="shared" si="10"/>
        <v>0</v>
      </c>
      <c r="V118" s="204" t="s">
        <v>92</v>
      </c>
      <c r="W118" s="326"/>
    </row>
    <row r="119" spans="1:23" ht="16.5" thickBot="1" x14ac:dyDescent="0.3">
      <c r="A119" s="96"/>
      <c r="B119" s="97"/>
      <c r="C119" s="97"/>
      <c r="D119" s="97"/>
      <c r="E119" s="104"/>
      <c r="F119" s="104"/>
      <c r="G119" s="98"/>
      <c r="H119" s="107"/>
      <c r="I119" s="100">
        <v>1</v>
      </c>
      <c r="J119" s="100"/>
      <c r="K119" s="100"/>
      <c r="L119" s="100"/>
      <c r="M119" s="100"/>
      <c r="N119" s="100"/>
      <c r="O119" s="100"/>
      <c r="P119" s="100"/>
      <c r="Q119" s="100"/>
      <c r="R119" s="100"/>
      <c r="S119" s="254"/>
      <c r="T119" s="248">
        <f t="shared" si="11"/>
        <v>0</v>
      </c>
      <c r="U119" s="299">
        <f t="shared" si="10"/>
        <v>0</v>
      </c>
      <c r="V119" s="357" t="s">
        <v>9</v>
      </c>
      <c r="W119" s="326"/>
    </row>
    <row r="120" spans="1:23" ht="16.5" thickBot="1" x14ac:dyDescent="0.3">
      <c r="A120" s="96"/>
      <c r="B120" s="97"/>
      <c r="C120" s="97"/>
      <c r="D120" s="97"/>
      <c r="E120" s="104"/>
      <c r="F120" s="104"/>
      <c r="G120" s="98"/>
      <c r="H120" s="82"/>
      <c r="I120" s="83"/>
      <c r="J120" s="240"/>
      <c r="K120" s="83"/>
      <c r="L120" s="83"/>
      <c r="M120" s="83"/>
      <c r="N120" s="83"/>
      <c r="O120" s="83"/>
      <c r="P120" s="83"/>
      <c r="Q120" s="83"/>
      <c r="R120" s="83"/>
      <c r="S120" s="83"/>
      <c r="T120" s="246"/>
      <c r="U120" s="246"/>
      <c r="V120" s="208" t="s">
        <v>153</v>
      </c>
      <c r="W120" s="354" t="s">
        <v>228</v>
      </c>
    </row>
    <row r="121" spans="1:23" ht="15.75" x14ac:dyDescent="0.25">
      <c r="A121" s="96"/>
      <c r="B121" s="97"/>
      <c r="C121" s="97"/>
      <c r="D121" s="97"/>
      <c r="E121" s="104"/>
      <c r="F121" s="104"/>
      <c r="G121" s="109"/>
      <c r="H121" s="90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250"/>
      <c r="T121" s="249">
        <f t="shared" ref="T121:T129" si="12">SUM(H121,J121,L121,N121,P121,R121,S121)</f>
        <v>0</v>
      </c>
      <c r="U121" s="183">
        <f t="shared" si="10"/>
        <v>0</v>
      </c>
      <c r="V121" s="202" t="s">
        <v>89</v>
      </c>
      <c r="W121" s="354" t="s">
        <v>223</v>
      </c>
    </row>
    <row r="122" spans="1:23" ht="15.75" x14ac:dyDescent="0.25">
      <c r="A122" s="96"/>
      <c r="B122" s="97"/>
      <c r="C122" s="97"/>
      <c r="D122" s="97"/>
      <c r="E122" s="104"/>
      <c r="F122" s="104"/>
      <c r="G122" s="109"/>
      <c r="H122" s="99">
        <v>1</v>
      </c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251"/>
      <c r="T122" s="247">
        <f t="shared" si="12"/>
        <v>1</v>
      </c>
      <c r="U122" s="183">
        <f t="shared" si="10"/>
        <v>4.675081813931744E-4</v>
      </c>
      <c r="V122" s="203" t="s">
        <v>83</v>
      </c>
      <c r="W122" s="354" t="s">
        <v>222</v>
      </c>
    </row>
    <row r="123" spans="1:23" x14ac:dyDescent="0.25">
      <c r="A123" s="96"/>
      <c r="B123" s="97"/>
      <c r="C123" s="97"/>
      <c r="D123" s="97"/>
      <c r="E123" s="104"/>
      <c r="F123" s="104"/>
      <c r="G123" s="109"/>
      <c r="H123" s="99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251"/>
      <c r="T123" s="247">
        <f t="shared" si="12"/>
        <v>0</v>
      </c>
      <c r="U123" s="183">
        <f t="shared" si="10"/>
        <v>0</v>
      </c>
      <c r="V123" s="355" t="s">
        <v>11</v>
      </c>
      <c r="W123" s="354" t="s">
        <v>224</v>
      </c>
    </row>
    <row r="124" spans="1:23" ht="15.75" x14ac:dyDescent="0.25">
      <c r="A124" s="96"/>
      <c r="B124" s="97"/>
      <c r="C124" s="97"/>
      <c r="D124" s="97"/>
      <c r="E124" s="104"/>
      <c r="F124" s="104"/>
      <c r="G124" s="109"/>
      <c r="H124" s="99">
        <v>4</v>
      </c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251"/>
      <c r="T124" s="247">
        <f t="shared" si="12"/>
        <v>4</v>
      </c>
      <c r="U124" s="183">
        <f t="shared" si="10"/>
        <v>1.8700327255726976E-3</v>
      </c>
      <c r="V124" s="203" t="s">
        <v>71</v>
      </c>
      <c r="W124" s="354" t="s">
        <v>227</v>
      </c>
    </row>
    <row r="125" spans="1:23" ht="15.75" x14ac:dyDescent="0.25">
      <c r="A125" s="96"/>
      <c r="B125" s="97"/>
      <c r="C125" s="97"/>
      <c r="D125" s="97"/>
      <c r="E125" s="104"/>
      <c r="F125" s="104"/>
      <c r="G125" s="109"/>
      <c r="H125" s="99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251"/>
      <c r="T125" s="247">
        <f t="shared" si="12"/>
        <v>0</v>
      </c>
      <c r="U125" s="183">
        <f t="shared" si="10"/>
        <v>0</v>
      </c>
      <c r="V125" s="204" t="s">
        <v>85</v>
      </c>
      <c r="W125" s="326" t="s">
        <v>226</v>
      </c>
    </row>
    <row r="126" spans="1:23" ht="15.75" x14ac:dyDescent="0.25">
      <c r="A126" s="96"/>
      <c r="B126" s="97"/>
      <c r="C126" s="97"/>
      <c r="D126" s="97"/>
      <c r="E126" s="104"/>
      <c r="F126" s="104"/>
      <c r="G126" s="109"/>
      <c r="H126" s="99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251"/>
      <c r="T126" s="247">
        <f t="shared" si="12"/>
        <v>0</v>
      </c>
      <c r="U126" s="183">
        <f t="shared" si="10"/>
        <v>0</v>
      </c>
      <c r="V126" s="204" t="s">
        <v>26</v>
      </c>
      <c r="W126" s="326"/>
    </row>
    <row r="127" spans="1:23" ht="15.75" x14ac:dyDescent="0.25">
      <c r="A127" s="96"/>
      <c r="B127" s="97"/>
      <c r="C127" s="97"/>
      <c r="D127" s="97"/>
      <c r="E127" s="104"/>
      <c r="F127" s="104"/>
      <c r="G127" s="109"/>
      <c r="H127" s="107">
        <v>2</v>
      </c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254"/>
      <c r="T127" s="247">
        <f t="shared" si="12"/>
        <v>2</v>
      </c>
      <c r="U127" s="183">
        <f t="shared" si="10"/>
        <v>9.3501636278634881E-4</v>
      </c>
      <c r="V127" s="207" t="s">
        <v>35</v>
      </c>
      <c r="W127" s="356"/>
    </row>
    <row r="128" spans="1:23" ht="15.75" x14ac:dyDescent="0.25">
      <c r="A128" s="96"/>
      <c r="B128" s="97"/>
      <c r="C128" s="97"/>
      <c r="D128" s="97"/>
      <c r="E128" s="104"/>
      <c r="F128" s="104"/>
      <c r="G128" s="109"/>
      <c r="H128" s="107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254"/>
      <c r="T128" s="247">
        <f t="shared" si="12"/>
        <v>0</v>
      </c>
      <c r="U128" s="183">
        <f t="shared" si="10"/>
        <v>0</v>
      </c>
      <c r="V128" s="203" t="s">
        <v>12</v>
      </c>
      <c r="W128" s="326"/>
    </row>
    <row r="129" spans="1:23" ht="16.5" thickBot="1" x14ac:dyDescent="0.3">
      <c r="A129" s="117"/>
      <c r="B129" s="118"/>
      <c r="C129" s="118"/>
      <c r="D129" s="118"/>
      <c r="E129" s="119"/>
      <c r="F129" s="119"/>
      <c r="G129" s="120"/>
      <c r="H129" s="107">
        <v>12</v>
      </c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254"/>
      <c r="T129" s="247">
        <f t="shared" si="12"/>
        <v>12</v>
      </c>
      <c r="U129" s="299">
        <f t="shared" si="10"/>
        <v>5.6100981767180924E-3</v>
      </c>
      <c r="V129" s="205" t="s">
        <v>148</v>
      </c>
      <c r="W129" s="352"/>
    </row>
    <row r="130" spans="1:23" ht="15.75" thickBot="1" x14ac:dyDescent="0.3">
      <c r="A130" s="122"/>
      <c r="B130" s="122"/>
      <c r="C130" s="122"/>
      <c r="D130" s="122"/>
      <c r="E130" s="122"/>
      <c r="F130" s="122"/>
      <c r="G130" s="47" t="s">
        <v>4</v>
      </c>
      <c r="H130" s="123">
        <f t="shared" ref="H130:S130" si="13">SUM(H91:H129)</f>
        <v>219</v>
      </c>
      <c r="I130" s="123">
        <f t="shared" si="13"/>
        <v>47</v>
      </c>
      <c r="J130" s="123">
        <f t="shared" si="13"/>
        <v>37</v>
      </c>
      <c r="K130" s="123">
        <f t="shared" si="13"/>
        <v>0</v>
      </c>
      <c r="L130" s="123">
        <f t="shared" si="13"/>
        <v>0</v>
      </c>
      <c r="M130" s="123">
        <f t="shared" si="13"/>
        <v>0</v>
      </c>
      <c r="N130" s="123">
        <f t="shared" si="13"/>
        <v>0</v>
      </c>
      <c r="O130" s="123">
        <f t="shared" si="13"/>
        <v>0</v>
      </c>
      <c r="P130" s="123">
        <f t="shared" si="13"/>
        <v>0</v>
      </c>
      <c r="Q130" s="123">
        <f t="shared" si="13"/>
        <v>0</v>
      </c>
      <c r="R130" s="123">
        <f t="shared" si="13"/>
        <v>2</v>
      </c>
      <c r="S130" s="123">
        <f t="shared" si="13"/>
        <v>33</v>
      </c>
      <c r="T130" s="198">
        <f>SUM(H130,J130,L130,N130,P130,R130,S130)</f>
        <v>291</v>
      </c>
      <c r="U130" s="333">
        <f t="shared" si="10"/>
        <v>0.13604488078541374</v>
      </c>
      <c r="V130" s="40"/>
    </row>
    <row r="132" spans="1:23" ht="15.75" thickBot="1" x14ac:dyDescent="0.3"/>
    <row r="133" spans="1:23" ht="75.75" thickBot="1" x14ac:dyDescent="0.3">
      <c r="A133" s="42" t="s">
        <v>22</v>
      </c>
      <c r="B133" s="42" t="s">
        <v>47</v>
      </c>
      <c r="C133" s="43" t="s">
        <v>52</v>
      </c>
      <c r="D133" s="43" t="s">
        <v>17</v>
      </c>
      <c r="E133" s="42" t="s">
        <v>16</v>
      </c>
      <c r="F133" s="44" t="s">
        <v>1</v>
      </c>
      <c r="G133" s="45" t="s">
        <v>23</v>
      </c>
      <c r="H133" s="46" t="s">
        <v>72</v>
      </c>
      <c r="I133" s="46" t="s">
        <v>73</v>
      </c>
      <c r="J133" s="46" t="s">
        <v>53</v>
      </c>
      <c r="K133" s="46" t="s">
        <v>58</v>
      </c>
      <c r="L133" s="46" t="s">
        <v>54</v>
      </c>
      <c r="M133" s="46" t="s">
        <v>59</v>
      </c>
      <c r="N133" s="46" t="s">
        <v>55</v>
      </c>
      <c r="O133" s="46" t="s">
        <v>60</v>
      </c>
      <c r="P133" s="46" t="s">
        <v>56</v>
      </c>
      <c r="Q133" s="46" t="s">
        <v>74</v>
      </c>
      <c r="R133" s="46" t="s">
        <v>115</v>
      </c>
      <c r="S133" s="46" t="s">
        <v>41</v>
      </c>
      <c r="T133" s="46" t="s">
        <v>4</v>
      </c>
      <c r="U133" s="42" t="s">
        <v>2</v>
      </c>
      <c r="V133" s="80" t="s">
        <v>20</v>
      </c>
      <c r="W133" s="81" t="s">
        <v>6</v>
      </c>
    </row>
    <row r="134" spans="1:23" ht="15.75" thickBot="1" x14ac:dyDescent="0.3">
      <c r="A134" s="316">
        <v>1513502</v>
      </c>
      <c r="B134" s="209" t="s">
        <v>110</v>
      </c>
      <c r="C134" s="316">
        <v>1920</v>
      </c>
      <c r="D134" s="316">
        <v>2110</v>
      </c>
      <c r="E134" s="321">
        <v>1860</v>
      </c>
      <c r="F134" s="322">
        <f>E134/D134</f>
        <v>0.88151658767772512</v>
      </c>
      <c r="G134" s="48">
        <v>45308</v>
      </c>
      <c r="H134" s="82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4"/>
      <c r="T134" s="296"/>
      <c r="U134" s="115"/>
      <c r="V134" s="86" t="s">
        <v>75</v>
      </c>
      <c r="W134" s="353" t="s">
        <v>191</v>
      </c>
    </row>
    <row r="135" spans="1:23" ht="15.75" x14ac:dyDescent="0.25">
      <c r="A135" s="87"/>
      <c r="B135" s="88"/>
      <c r="C135" s="88"/>
      <c r="D135" s="88"/>
      <c r="E135" s="88"/>
      <c r="F135" s="88"/>
      <c r="G135" s="89"/>
      <c r="H135" s="90">
        <v>6</v>
      </c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250">
        <v>5</v>
      </c>
      <c r="T135" s="249">
        <f>SUM(H135,J135,L135,N135,P135,R135,S135)</f>
        <v>11</v>
      </c>
      <c r="U135" s="349">
        <f>($T135)/$D$134</f>
        <v>5.2132701421800948E-3</v>
      </c>
      <c r="V135" s="202" t="s">
        <v>15</v>
      </c>
      <c r="W135" s="210" t="s">
        <v>120</v>
      </c>
    </row>
    <row r="136" spans="1:23" ht="15.75" x14ac:dyDescent="0.25">
      <c r="A136" s="96"/>
      <c r="B136" s="97"/>
      <c r="C136" s="97"/>
      <c r="D136" s="97"/>
      <c r="E136" s="97"/>
      <c r="F136" s="97"/>
      <c r="G136" s="98"/>
      <c r="H136" s="348">
        <v>1</v>
      </c>
      <c r="I136" s="111"/>
      <c r="J136" s="111">
        <v>2</v>
      </c>
      <c r="K136" s="111"/>
      <c r="L136" s="111"/>
      <c r="M136" s="111"/>
      <c r="N136" s="111"/>
      <c r="O136" s="111"/>
      <c r="P136" s="111"/>
      <c r="Q136" s="111"/>
      <c r="R136" s="111"/>
      <c r="S136" s="253"/>
      <c r="T136" s="249">
        <f>SUM(H136,J136,L136,N136,P136,R136,S136)</f>
        <v>3</v>
      </c>
      <c r="U136" s="299">
        <f>($T136)/$D$134</f>
        <v>1.4218009478672985E-3</v>
      </c>
      <c r="V136" s="206" t="s">
        <v>43</v>
      </c>
      <c r="W136" s="210" t="s">
        <v>154</v>
      </c>
    </row>
    <row r="137" spans="1:23" ht="15.75" x14ac:dyDescent="0.25">
      <c r="A137" s="96"/>
      <c r="B137" s="97"/>
      <c r="C137" s="97"/>
      <c r="D137" s="97"/>
      <c r="E137" s="97"/>
      <c r="F137" s="97"/>
      <c r="G137" s="98"/>
      <c r="H137" s="99">
        <v>54</v>
      </c>
      <c r="I137" s="63"/>
      <c r="J137" s="63">
        <v>3</v>
      </c>
      <c r="K137" s="63"/>
      <c r="L137" s="63"/>
      <c r="M137" s="63"/>
      <c r="N137" s="63"/>
      <c r="O137" s="63"/>
      <c r="P137" s="63"/>
      <c r="Q137" s="63"/>
      <c r="R137" s="63"/>
      <c r="S137" s="251"/>
      <c r="T137" s="247">
        <f t="shared" ref="T137:T163" si="14">SUM(H137,J137,L137,N137,P137,R137,S137)</f>
        <v>57</v>
      </c>
      <c r="U137" s="299">
        <f t="shared" ref="U137:U149" si="15">($T137)/$D$134</f>
        <v>2.7014218009478674E-2</v>
      </c>
      <c r="V137" s="203" t="s">
        <v>5</v>
      </c>
      <c r="W137" s="351"/>
    </row>
    <row r="138" spans="1:23" ht="15.75" x14ac:dyDescent="0.25">
      <c r="A138" s="96"/>
      <c r="B138" s="97"/>
      <c r="C138" s="97"/>
      <c r="D138" s="97"/>
      <c r="E138" s="104"/>
      <c r="F138" s="104"/>
      <c r="G138" s="98"/>
      <c r="H138" s="99">
        <v>20</v>
      </c>
      <c r="I138" s="63"/>
      <c r="J138" s="63">
        <v>9</v>
      </c>
      <c r="K138" s="63"/>
      <c r="L138" s="63"/>
      <c r="M138" s="63"/>
      <c r="N138" s="63"/>
      <c r="O138" s="63"/>
      <c r="P138" s="63"/>
      <c r="Q138" s="63"/>
      <c r="R138" s="63"/>
      <c r="S138" s="251"/>
      <c r="T138" s="247">
        <f t="shared" si="14"/>
        <v>29</v>
      </c>
      <c r="U138" s="299">
        <f t="shared" si="15"/>
        <v>1.3744075829383886E-2</v>
      </c>
      <c r="V138" s="203" t="s">
        <v>13</v>
      </c>
      <c r="W138" s="244"/>
    </row>
    <row r="139" spans="1:23" ht="15.75" x14ac:dyDescent="0.25">
      <c r="A139" s="96"/>
      <c r="B139" s="97"/>
      <c r="C139" s="97"/>
      <c r="D139" s="97"/>
      <c r="E139" s="104"/>
      <c r="F139" s="104"/>
      <c r="G139" s="98"/>
      <c r="H139" s="99">
        <v>3</v>
      </c>
      <c r="I139" s="63"/>
      <c r="J139" s="63">
        <v>1</v>
      </c>
      <c r="K139" s="63"/>
      <c r="L139" s="63"/>
      <c r="M139" s="63"/>
      <c r="N139" s="63"/>
      <c r="O139" s="63"/>
      <c r="P139" s="63"/>
      <c r="Q139" s="63"/>
      <c r="R139" s="63"/>
      <c r="S139" s="251"/>
      <c r="T139" s="247">
        <f t="shared" si="14"/>
        <v>4</v>
      </c>
      <c r="U139" s="299">
        <f t="shared" si="15"/>
        <v>1.8957345971563982E-3</v>
      </c>
      <c r="V139" s="203" t="s">
        <v>14</v>
      </c>
      <c r="W139" s="455"/>
    </row>
    <row r="140" spans="1:23" ht="15.75" x14ac:dyDescent="0.25">
      <c r="A140" s="96"/>
      <c r="B140" s="97"/>
      <c r="C140" s="97"/>
      <c r="D140" s="97"/>
      <c r="E140" s="104"/>
      <c r="F140" s="104"/>
      <c r="G140" s="98"/>
      <c r="H140" s="99">
        <v>4</v>
      </c>
      <c r="I140" s="63"/>
      <c r="J140" s="63">
        <v>3</v>
      </c>
      <c r="K140" s="63"/>
      <c r="L140" s="63"/>
      <c r="M140" s="63"/>
      <c r="N140" s="63"/>
      <c r="O140" s="63"/>
      <c r="P140" s="63"/>
      <c r="Q140" s="63"/>
      <c r="R140" s="63"/>
      <c r="S140" s="251"/>
      <c r="T140" s="247">
        <f t="shared" si="14"/>
        <v>7</v>
      </c>
      <c r="U140" s="299">
        <f t="shared" si="15"/>
        <v>3.3175355450236967E-3</v>
      </c>
      <c r="V140" s="203" t="s">
        <v>30</v>
      </c>
      <c r="W140" s="311"/>
    </row>
    <row r="141" spans="1:23" ht="15.75" x14ac:dyDescent="0.25">
      <c r="A141" s="96"/>
      <c r="B141" s="97"/>
      <c r="C141" s="97"/>
      <c r="D141" s="97"/>
      <c r="E141" s="104"/>
      <c r="F141" s="104"/>
      <c r="G141" s="98"/>
      <c r="H141" s="99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251"/>
      <c r="T141" s="247">
        <f t="shared" si="14"/>
        <v>0</v>
      </c>
      <c r="U141" s="299">
        <f t="shared" si="15"/>
        <v>0</v>
      </c>
      <c r="V141" s="203" t="s">
        <v>31</v>
      </c>
      <c r="W141" s="323"/>
    </row>
    <row r="142" spans="1:23" ht="15.75" x14ac:dyDescent="0.25">
      <c r="A142" s="96"/>
      <c r="B142" s="97"/>
      <c r="C142" s="97"/>
      <c r="D142" s="97"/>
      <c r="E142" s="104"/>
      <c r="F142" s="104"/>
      <c r="G142" s="98"/>
      <c r="H142" s="99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251"/>
      <c r="T142" s="247">
        <f t="shared" si="14"/>
        <v>0</v>
      </c>
      <c r="U142" s="299">
        <f t="shared" si="15"/>
        <v>0</v>
      </c>
      <c r="V142" s="203" t="s">
        <v>168</v>
      </c>
      <c r="W142" s="323"/>
    </row>
    <row r="143" spans="1:23" ht="15.75" x14ac:dyDescent="0.25">
      <c r="A143" s="96"/>
      <c r="B143" s="97"/>
      <c r="C143" s="97"/>
      <c r="D143" s="97"/>
      <c r="E143" s="104"/>
      <c r="F143" s="104"/>
      <c r="G143" s="98"/>
      <c r="H143" s="99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251"/>
      <c r="T143" s="247">
        <f t="shared" si="14"/>
        <v>0</v>
      </c>
      <c r="U143" s="299">
        <f t="shared" si="15"/>
        <v>0</v>
      </c>
      <c r="V143" s="204" t="s">
        <v>202</v>
      </c>
      <c r="W143" s="105"/>
    </row>
    <row r="144" spans="1:23" ht="15.75" x14ac:dyDescent="0.25">
      <c r="A144" s="96"/>
      <c r="B144" s="97"/>
      <c r="C144" s="97"/>
      <c r="D144" s="97"/>
      <c r="E144" s="104"/>
      <c r="F144" s="104"/>
      <c r="G144" s="98"/>
      <c r="H144" s="99">
        <v>4</v>
      </c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251">
        <v>1</v>
      </c>
      <c r="T144" s="247">
        <f t="shared" si="14"/>
        <v>5</v>
      </c>
      <c r="U144" s="299">
        <f t="shared" si="15"/>
        <v>2.3696682464454978E-3</v>
      </c>
      <c r="V144" s="203" t="s">
        <v>0</v>
      </c>
      <c r="W144" s="354"/>
    </row>
    <row r="145" spans="1:23" ht="15.75" x14ac:dyDescent="0.25">
      <c r="A145" s="96"/>
      <c r="B145" s="97"/>
      <c r="C145" s="97"/>
      <c r="D145" s="97"/>
      <c r="E145" s="104"/>
      <c r="F145" s="104"/>
      <c r="G145" s="98"/>
      <c r="H145" s="99">
        <v>34</v>
      </c>
      <c r="I145" s="63"/>
      <c r="J145" s="63">
        <v>2</v>
      </c>
      <c r="K145" s="63"/>
      <c r="L145" s="63"/>
      <c r="M145" s="63"/>
      <c r="N145" s="63"/>
      <c r="O145" s="63"/>
      <c r="P145" s="63"/>
      <c r="Q145" s="63"/>
      <c r="R145" s="63"/>
      <c r="S145" s="251">
        <v>5</v>
      </c>
      <c r="T145" s="247">
        <f t="shared" si="14"/>
        <v>41</v>
      </c>
      <c r="U145" s="299">
        <f t="shared" si="15"/>
        <v>1.943127962085308E-2</v>
      </c>
      <c r="V145" s="203" t="s">
        <v>11</v>
      </c>
      <c r="W145" s="354"/>
    </row>
    <row r="146" spans="1:23" ht="15.75" x14ac:dyDescent="0.25">
      <c r="A146" s="96"/>
      <c r="B146" s="97"/>
      <c r="C146" s="97"/>
      <c r="D146" s="97"/>
      <c r="E146" s="104"/>
      <c r="F146" s="104" t="s">
        <v>100</v>
      </c>
      <c r="G146" s="98"/>
      <c r="H146" s="99">
        <v>19</v>
      </c>
      <c r="I146" s="63"/>
      <c r="J146" s="63">
        <v>1</v>
      </c>
      <c r="K146" s="63"/>
      <c r="L146" s="63"/>
      <c r="M146" s="63"/>
      <c r="N146" s="63"/>
      <c r="O146" s="63"/>
      <c r="P146" s="63"/>
      <c r="Q146" s="63"/>
      <c r="R146" s="63"/>
      <c r="S146" s="251"/>
      <c r="T146" s="247">
        <f t="shared" si="14"/>
        <v>20</v>
      </c>
      <c r="U146" s="299">
        <f t="shared" si="15"/>
        <v>9.4786729857819912E-3</v>
      </c>
      <c r="V146" s="203" t="s">
        <v>33</v>
      </c>
      <c r="W146" s="326"/>
    </row>
    <row r="147" spans="1:23" ht="15.75" x14ac:dyDescent="0.25">
      <c r="A147" s="96"/>
      <c r="B147" s="97"/>
      <c r="C147" s="97"/>
      <c r="D147" s="97"/>
      <c r="E147" s="104"/>
      <c r="F147" s="104"/>
      <c r="G147" s="98"/>
      <c r="H147" s="99"/>
      <c r="I147" s="63"/>
      <c r="J147" s="63">
        <v>5</v>
      </c>
      <c r="K147" s="63"/>
      <c r="L147" s="63"/>
      <c r="M147" s="63"/>
      <c r="N147" s="63"/>
      <c r="O147" s="63"/>
      <c r="P147" s="63"/>
      <c r="Q147" s="63"/>
      <c r="R147" s="63"/>
      <c r="S147" s="251"/>
      <c r="T147" s="247">
        <f t="shared" si="14"/>
        <v>5</v>
      </c>
      <c r="U147" s="299">
        <f t="shared" si="15"/>
        <v>2.3696682464454978E-3</v>
      </c>
      <c r="V147" s="204" t="s">
        <v>27</v>
      </c>
      <c r="W147" s="354"/>
    </row>
    <row r="148" spans="1:23" ht="15.75" x14ac:dyDescent="0.25">
      <c r="A148" s="96"/>
      <c r="B148" s="97"/>
      <c r="C148" s="97"/>
      <c r="D148" s="97"/>
      <c r="E148" s="104"/>
      <c r="F148" s="104"/>
      <c r="G148" s="109"/>
      <c r="H148" s="110"/>
      <c r="I148" s="63"/>
      <c r="J148" s="63">
        <v>2</v>
      </c>
      <c r="K148" s="63"/>
      <c r="L148" s="63"/>
      <c r="M148" s="63"/>
      <c r="N148" s="63"/>
      <c r="O148" s="63"/>
      <c r="P148" s="63"/>
      <c r="Q148" s="63"/>
      <c r="R148" s="63"/>
      <c r="S148" s="251"/>
      <c r="T148" s="247">
        <f t="shared" si="14"/>
        <v>2</v>
      </c>
      <c r="U148" s="299">
        <f t="shared" si="15"/>
        <v>9.4786729857819908E-4</v>
      </c>
      <c r="V148" s="204" t="s">
        <v>26</v>
      </c>
      <c r="W148" s="212"/>
    </row>
    <row r="149" spans="1:23" ht="15.75" x14ac:dyDescent="0.25">
      <c r="A149" s="96"/>
      <c r="B149" s="97"/>
      <c r="C149" s="97"/>
      <c r="D149" s="97"/>
      <c r="E149" s="104"/>
      <c r="F149" s="104"/>
      <c r="G149" s="109"/>
      <c r="H149" s="110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251"/>
      <c r="T149" s="247">
        <f t="shared" si="14"/>
        <v>0</v>
      </c>
      <c r="U149" s="299">
        <f t="shared" si="15"/>
        <v>0</v>
      </c>
      <c r="V149" s="204" t="s">
        <v>148</v>
      </c>
      <c r="W149" s="103"/>
    </row>
    <row r="150" spans="1:23" ht="16.5" thickBot="1" x14ac:dyDescent="0.3">
      <c r="A150" s="96"/>
      <c r="B150" s="97"/>
      <c r="C150" s="97"/>
      <c r="D150" s="97"/>
      <c r="E150" s="104"/>
      <c r="F150" s="104"/>
      <c r="G150" s="109"/>
      <c r="H150" s="186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252"/>
      <c r="T150" s="248">
        <f t="shared" si="14"/>
        <v>0</v>
      </c>
      <c r="U150" s="245">
        <f>($T150)/$D$134</f>
        <v>0</v>
      </c>
      <c r="V150" s="205" t="s">
        <v>85</v>
      </c>
      <c r="W150" s="212"/>
    </row>
    <row r="151" spans="1:23" ht="15.75" x14ac:dyDescent="0.25">
      <c r="A151" s="96"/>
      <c r="B151" s="97"/>
      <c r="C151" s="97"/>
      <c r="D151" s="97"/>
      <c r="E151" s="104"/>
      <c r="F151" s="104"/>
      <c r="G151" s="98"/>
      <c r="H151" s="90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253"/>
      <c r="T151" s="249">
        <f t="shared" si="14"/>
        <v>0</v>
      </c>
      <c r="U151" s="183">
        <f>($T151)/$D$134</f>
        <v>0</v>
      </c>
      <c r="V151" s="206" t="s">
        <v>10</v>
      </c>
      <c r="W151" s="106"/>
    </row>
    <row r="152" spans="1:23" ht="15.75" x14ac:dyDescent="0.25">
      <c r="A152" s="96"/>
      <c r="B152" s="97"/>
      <c r="C152" s="97"/>
      <c r="D152" s="97"/>
      <c r="E152" s="104"/>
      <c r="F152" s="104"/>
      <c r="G152" s="98"/>
      <c r="H152" s="99"/>
      <c r="I152" s="213"/>
      <c r="J152" s="63"/>
      <c r="K152" s="63"/>
      <c r="L152" s="63"/>
      <c r="M152" s="63"/>
      <c r="N152" s="63"/>
      <c r="O152" s="63"/>
      <c r="P152" s="63"/>
      <c r="Q152" s="63"/>
      <c r="R152" s="63"/>
      <c r="S152" s="251"/>
      <c r="T152" s="247">
        <f t="shared" si="14"/>
        <v>0</v>
      </c>
      <c r="U152" s="93">
        <f>($T152)/$D$134</f>
        <v>0</v>
      </c>
      <c r="V152" s="331" t="s">
        <v>94</v>
      </c>
      <c r="W152" s="106"/>
    </row>
    <row r="153" spans="1:23" ht="15.75" x14ac:dyDescent="0.25">
      <c r="A153" s="96"/>
      <c r="B153" s="97"/>
      <c r="C153" s="97"/>
      <c r="D153" s="97"/>
      <c r="E153" s="104"/>
      <c r="F153" s="104"/>
      <c r="G153" s="98"/>
      <c r="H153" s="99"/>
      <c r="I153" s="214">
        <v>3</v>
      </c>
      <c r="J153" s="63">
        <v>1</v>
      </c>
      <c r="K153" s="63"/>
      <c r="L153" s="63"/>
      <c r="M153" s="63"/>
      <c r="N153" s="63"/>
      <c r="O153" s="63"/>
      <c r="P153" s="63"/>
      <c r="Q153" s="63"/>
      <c r="R153" s="63"/>
      <c r="S153" s="251">
        <v>8</v>
      </c>
      <c r="T153" s="247">
        <f t="shared" si="14"/>
        <v>9</v>
      </c>
      <c r="U153" s="93">
        <f t="shared" ref="U153:U162" si="16">($T153)/$D$134</f>
        <v>4.2654028436018955E-3</v>
      </c>
      <c r="V153" s="203" t="s">
        <v>3</v>
      </c>
      <c r="W153" s="105"/>
    </row>
    <row r="154" spans="1:23" ht="15.75" x14ac:dyDescent="0.25">
      <c r="A154" s="96"/>
      <c r="B154" s="97"/>
      <c r="C154" s="97"/>
      <c r="D154" s="97"/>
      <c r="E154" s="97"/>
      <c r="F154" s="104"/>
      <c r="G154" s="98"/>
      <c r="H154" s="99"/>
      <c r="I154" s="214">
        <v>105</v>
      </c>
      <c r="J154" s="63">
        <v>1</v>
      </c>
      <c r="K154" s="63"/>
      <c r="L154" s="63"/>
      <c r="M154" s="63"/>
      <c r="N154" s="63"/>
      <c r="O154" s="63"/>
      <c r="P154" s="63"/>
      <c r="Q154" s="63"/>
      <c r="R154" s="63"/>
      <c r="S154" s="251"/>
      <c r="T154" s="247">
        <f t="shared" si="14"/>
        <v>1</v>
      </c>
      <c r="U154" s="93">
        <f t="shared" si="16"/>
        <v>4.7393364928909954E-4</v>
      </c>
      <c r="V154" s="203" t="s">
        <v>7</v>
      </c>
      <c r="W154" s="106"/>
    </row>
    <row r="155" spans="1:23" ht="15.75" x14ac:dyDescent="0.25">
      <c r="A155" s="96"/>
      <c r="B155" s="97"/>
      <c r="C155" s="97"/>
      <c r="D155" s="97"/>
      <c r="E155" s="97"/>
      <c r="F155" s="104"/>
      <c r="G155" s="98"/>
      <c r="H155" s="99"/>
      <c r="I155" s="214">
        <v>1</v>
      </c>
      <c r="J155" s="63"/>
      <c r="K155" s="63"/>
      <c r="L155" s="63"/>
      <c r="M155" s="63"/>
      <c r="N155" s="63"/>
      <c r="O155" s="63"/>
      <c r="P155" s="63"/>
      <c r="Q155" s="63"/>
      <c r="R155" s="63"/>
      <c r="S155" s="251"/>
      <c r="T155" s="247">
        <f t="shared" si="14"/>
        <v>0</v>
      </c>
      <c r="U155" s="93">
        <f t="shared" si="16"/>
        <v>0</v>
      </c>
      <c r="V155" s="203" t="s">
        <v>8</v>
      </c>
      <c r="W155" s="354"/>
    </row>
    <row r="156" spans="1:23" ht="15.75" x14ac:dyDescent="0.25">
      <c r="A156" s="96"/>
      <c r="B156" s="97"/>
      <c r="C156" s="97"/>
      <c r="D156" s="97"/>
      <c r="E156" s="97"/>
      <c r="F156" s="104"/>
      <c r="G156" s="98"/>
      <c r="H156" s="99"/>
      <c r="I156" s="214">
        <v>2</v>
      </c>
      <c r="J156" s="63"/>
      <c r="K156" s="63"/>
      <c r="L156" s="63"/>
      <c r="M156" s="63"/>
      <c r="N156" s="63"/>
      <c r="O156" s="63"/>
      <c r="P156" s="63"/>
      <c r="Q156" s="63"/>
      <c r="R156" s="63"/>
      <c r="S156" s="251"/>
      <c r="T156" s="247">
        <f t="shared" si="14"/>
        <v>0</v>
      </c>
      <c r="U156" s="93">
        <f t="shared" si="16"/>
        <v>0</v>
      </c>
      <c r="V156" s="203" t="s">
        <v>77</v>
      </c>
      <c r="W156" s="354" t="s">
        <v>176</v>
      </c>
    </row>
    <row r="157" spans="1:23" ht="15.75" x14ac:dyDescent="0.25">
      <c r="A157" s="96"/>
      <c r="B157" s="97"/>
      <c r="C157" s="97"/>
      <c r="D157" s="97"/>
      <c r="E157" s="97"/>
      <c r="F157" s="104"/>
      <c r="G157" s="98"/>
      <c r="H157" s="99"/>
      <c r="I157" s="214">
        <v>1</v>
      </c>
      <c r="J157" s="63"/>
      <c r="K157" s="63"/>
      <c r="L157" s="63"/>
      <c r="M157" s="63"/>
      <c r="N157" s="63"/>
      <c r="O157" s="63"/>
      <c r="P157" s="63"/>
      <c r="Q157" s="63"/>
      <c r="R157" s="63"/>
      <c r="S157" s="251">
        <v>1</v>
      </c>
      <c r="T157" s="247">
        <f t="shared" si="14"/>
        <v>1</v>
      </c>
      <c r="U157" s="93">
        <f t="shared" si="16"/>
        <v>4.7393364928909954E-4</v>
      </c>
      <c r="V157" s="203" t="s">
        <v>19</v>
      </c>
      <c r="W157" s="354" t="s">
        <v>265</v>
      </c>
    </row>
    <row r="158" spans="1:23" ht="15.75" x14ac:dyDescent="0.25">
      <c r="A158" s="96"/>
      <c r="B158" s="97"/>
      <c r="C158" s="97"/>
      <c r="D158" s="97"/>
      <c r="E158" s="97"/>
      <c r="F158" s="104"/>
      <c r="G158" s="98"/>
      <c r="H158" s="99"/>
      <c r="I158" s="214"/>
      <c r="J158" s="63"/>
      <c r="K158" s="63"/>
      <c r="L158" s="63"/>
      <c r="M158" s="63"/>
      <c r="N158" s="63"/>
      <c r="O158" s="63"/>
      <c r="P158" s="63"/>
      <c r="Q158" s="63"/>
      <c r="R158" s="63"/>
      <c r="S158" s="251"/>
      <c r="T158" s="247">
        <f t="shared" si="14"/>
        <v>0</v>
      </c>
      <c r="U158" s="93">
        <f t="shared" si="16"/>
        <v>0</v>
      </c>
      <c r="V158" s="203" t="s">
        <v>78</v>
      </c>
      <c r="W158" s="354"/>
    </row>
    <row r="159" spans="1:23" ht="15.75" x14ac:dyDescent="0.25">
      <c r="A159" s="96"/>
      <c r="B159" s="97"/>
      <c r="C159" s="97"/>
      <c r="D159" s="97"/>
      <c r="E159" s="97"/>
      <c r="F159" s="104"/>
      <c r="G159" s="98"/>
      <c r="H159" s="99"/>
      <c r="I159" s="214"/>
      <c r="J159" s="63"/>
      <c r="K159" s="63"/>
      <c r="L159" s="63"/>
      <c r="M159" s="63"/>
      <c r="N159" s="63"/>
      <c r="O159" s="63"/>
      <c r="P159" s="63"/>
      <c r="Q159" s="63"/>
      <c r="R159" s="63"/>
      <c r="S159" s="251"/>
      <c r="T159" s="247">
        <f t="shared" si="14"/>
        <v>0</v>
      </c>
      <c r="U159" s="93">
        <f t="shared" si="16"/>
        <v>0</v>
      </c>
      <c r="V159" s="332" t="s">
        <v>170</v>
      </c>
      <c r="W159" s="354"/>
    </row>
    <row r="160" spans="1:23" ht="15.75" x14ac:dyDescent="0.25">
      <c r="A160" s="96"/>
      <c r="B160" s="97"/>
      <c r="C160" s="97"/>
      <c r="D160" s="97"/>
      <c r="E160" s="104"/>
      <c r="F160" s="104"/>
      <c r="G160" s="98"/>
      <c r="H160" s="99"/>
      <c r="I160" s="214">
        <v>11</v>
      </c>
      <c r="J160" s="63"/>
      <c r="K160" s="63"/>
      <c r="L160" s="63"/>
      <c r="M160" s="63"/>
      <c r="N160" s="63"/>
      <c r="O160" s="63"/>
      <c r="P160" s="63"/>
      <c r="Q160" s="63"/>
      <c r="R160" s="63">
        <v>1</v>
      </c>
      <c r="S160" s="251"/>
      <c r="T160" s="247">
        <f t="shared" si="14"/>
        <v>1</v>
      </c>
      <c r="U160" s="93">
        <f t="shared" si="16"/>
        <v>4.7393364928909954E-4</v>
      </c>
      <c r="V160" s="203" t="s">
        <v>12</v>
      </c>
      <c r="W160" s="326"/>
    </row>
    <row r="161" spans="1:23" ht="15.75" x14ac:dyDescent="0.25">
      <c r="A161" s="96"/>
      <c r="B161" s="97"/>
      <c r="C161" s="97"/>
      <c r="D161" s="97"/>
      <c r="E161" s="104"/>
      <c r="F161" s="104"/>
      <c r="G161" s="98"/>
      <c r="H161" s="99"/>
      <c r="I161" s="63">
        <v>10</v>
      </c>
      <c r="J161" s="63"/>
      <c r="K161" s="63"/>
      <c r="L161" s="63"/>
      <c r="M161" s="63"/>
      <c r="N161" s="63"/>
      <c r="O161" s="63"/>
      <c r="P161" s="63"/>
      <c r="Q161" s="63"/>
      <c r="R161" s="63">
        <v>1</v>
      </c>
      <c r="S161" s="251">
        <v>4</v>
      </c>
      <c r="T161" s="247">
        <f t="shared" si="14"/>
        <v>5</v>
      </c>
      <c r="U161" s="93">
        <f t="shared" si="16"/>
        <v>2.3696682464454978E-3</v>
      </c>
      <c r="V161" s="204" t="s">
        <v>164</v>
      </c>
      <c r="W161" s="354"/>
    </row>
    <row r="162" spans="1:23" ht="15.75" x14ac:dyDescent="0.25">
      <c r="A162" s="96"/>
      <c r="B162" s="97"/>
      <c r="C162" s="97"/>
      <c r="D162" s="97"/>
      <c r="E162" s="104"/>
      <c r="F162" s="104"/>
      <c r="G162" s="98"/>
      <c r="H162" s="99"/>
      <c r="I162" s="63"/>
      <c r="J162" s="63"/>
      <c r="K162" s="63"/>
      <c r="L162" s="63"/>
      <c r="M162" s="63"/>
      <c r="N162" s="63"/>
      <c r="O162" s="63"/>
      <c r="P162" s="63"/>
      <c r="Q162" s="63"/>
      <c r="R162" s="63">
        <v>4</v>
      </c>
      <c r="S162" s="251"/>
      <c r="T162" s="247">
        <f t="shared" si="14"/>
        <v>4</v>
      </c>
      <c r="U162" s="93">
        <f t="shared" si="16"/>
        <v>1.8957345971563982E-3</v>
      </c>
      <c r="V162" s="204" t="s">
        <v>9</v>
      </c>
      <c r="W162" s="326"/>
    </row>
    <row r="163" spans="1:23" ht="16.5" thickBot="1" x14ac:dyDescent="0.3">
      <c r="A163" s="96"/>
      <c r="B163" s="97"/>
      <c r="C163" s="97"/>
      <c r="D163" s="97"/>
      <c r="E163" s="104"/>
      <c r="F163" s="104"/>
      <c r="G163" s="98"/>
      <c r="H163" s="107"/>
      <c r="I163" s="100">
        <v>4</v>
      </c>
      <c r="J163" s="100"/>
      <c r="K163" s="100"/>
      <c r="L163" s="100"/>
      <c r="M163" s="100"/>
      <c r="N163" s="100"/>
      <c r="O163" s="100"/>
      <c r="P163" s="100"/>
      <c r="Q163" s="100"/>
      <c r="R163" s="100"/>
      <c r="S163" s="254"/>
      <c r="T163" s="248">
        <f t="shared" si="14"/>
        <v>0</v>
      </c>
      <c r="U163" s="299">
        <f>($T163)/$D$134</f>
        <v>0</v>
      </c>
      <c r="V163" s="357" t="s">
        <v>94</v>
      </c>
      <c r="W163" s="326"/>
    </row>
    <row r="164" spans="1:23" ht="16.5" thickBot="1" x14ac:dyDescent="0.3">
      <c r="A164" s="96"/>
      <c r="B164" s="97"/>
      <c r="C164" s="97"/>
      <c r="D164" s="97"/>
      <c r="E164" s="104"/>
      <c r="F164" s="104"/>
      <c r="G164" s="98"/>
      <c r="H164" s="430"/>
      <c r="I164" s="431"/>
      <c r="J164" s="432"/>
      <c r="K164" s="431"/>
      <c r="L164" s="431"/>
      <c r="M164" s="431"/>
      <c r="N164" s="431"/>
      <c r="O164" s="431"/>
      <c r="P164" s="431"/>
      <c r="Q164" s="431"/>
      <c r="R164" s="431"/>
      <c r="S164" s="431"/>
      <c r="T164" s="433"/>
      <c r="U164" s="433"/>
      <c r="V164" s="441" t="s">
        <v>267</v>
      </c>
      <c r="W164" s="354" t="s">
        <v>259</v>
      </c>
    </row>
    <row r="165" spans="1:23" ht="15.75" x14ac:dyDescent="0.25">
      <c r="A165" s="96"/>
      <c r="B165" s="97"/>
      <c r="C165" s="97"/>
      <c r="D165" s="97"/>
      <c r="E165" s="104"/>
      <c r="F165" s="104"/>
      <c r="G165" s="109"/>
      <c r="H165" s="90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250"/>
      <c r="T165" s="249">
        <f t="shared" ref="T165:T174" si="17">SUM(H165,J165,L165,N165,P165,R165,S165)</f>
        <v>0</v>
      </c>
      <c r="U165" s="183">
        <f>($T165)/$D$134</f>
        <v>0</v>
      </c>
      <c r="V165" s="202" t="s">
        <v>89</v>
      </c>
      <c r="W165" s="354" t="s">
        <v>260</v>
      </c>
    </row>
    <row r="166" spans="1:23" ht="15.75" x14ac:dyDescent="0.25">
      <c r="A166" s="96"/>
      <c r="B166" s="97"/>
      <c r="C166" s="97"/>
      <c r="D166" s="97"/>
      <c r="E166" s="104"/>
      <c r="F166" s="104"/>
      <c r="G166" s="109"/>
      <c r="H166" s="99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251"/>
      <c r="T166" s="247">
        <f t="shared" si="17"/>
        <v>0</v>
      </c>
      <c r="U166" s="183">
        <f>($T166)/$D$134</f>
        <v>0</v>
      </c>
      <c r="V166" s="203" t="s">
        <v>83</v>
      </c>
      <c r="W166" s="354" t="s">
        <v>261</v>
      </c>
    </row>
    <row r="167" spans="1:23" x14ac:dyDescent="0.25">
      <c r="A167" s="96"/>
      <c r="B167" s="97"/>
      <c r="C167" s="97"/>
      <c r="D167" s="97"/>
      <c r="E167" s="104"/>
      <c r="F167" s="104"/>
      <c r="G167" s="109"/>
      <c r="H167" s="99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251"/>
      <c r="T167" s="247">
        <f t="shared" si="17"/>
        <v>0</v>
      </c>
      <c r="U167" s="183">
        <f t="shared" ref="U167:U173" si="18">($T167)/$D$134</f>
        <v>0</v>
      </c>
      <c r="V167" s="355" t="s">
        <v>11</v>
      </c>
      <c r="W167" s="354" t="s">
        <v>264</v>
      </c>
    </row>
    <row r="168" spans="1:23" ht="15.75" x14ac:dyDescent="0.25">
      <c r="A168" s="96"/>
      <c r="B168" s="97"/>
      <c r="C168" s="97"/>
      <c r="D168" s="97"/>
      <c r="E168" s="104"/>
      <c r="F168" s="104"/>
      <c r="G168" s="109"/>
      <c r="H168" s="99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251"/>
      <c r="T168" s="247">
        <f t="shared" si="17"/>
        <v>0</v>
      </c>
      <c r="U168" s="183">
        <f t="shared" si="18"/>
        <v>0</v>
      </c>
      <c r="V168" s="203" t="s">
        <v>71</v>
      </c>
      <c r="W168" s="326" t="s">
        <v>263</v>
      </c>
    </row>
    <row r="169" spans="1:23" ht="15.75" x14ac:dyDescent="0.25">
      <c r="A169" s="96"/>
      <c r="B169" s="97"/>
      <c r="C169" s="97"/>
      <c r="D169" s="97"/>
      <c r="E169" s="104"/>
      <c r="F169" s="104"/>
      <c r="G169" s="109"/>
      <c r="H169" s="99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251"/>
      <c r="T169" s="247">
        <f t="shared" si="17"/>
        <v>0</v>
      </c>
      <c r="U169" s="183">
        <f t="shared" si="18"/>
        <v>0</v>
      </c>
      <c r="V169" s="204" t="s">
        <v>85</v>
      </c>
      <c r="W169" s="326"/>
    </row>
    <row r="170" spans="1:23" ht="15.75" x14ac:dyDescent="0.25">
      <c r="A170" s="96"/>
      <c r="B170" s="97"/>
      <c r="C170" s="97"/>
      <c r="D170" s="97"/>
      <c r="E170" s="104"/>
      <c r="F170" s="104"/>
      <c r="G170" s="109"/>
      <c r="H170" s="99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251"/>
      <c r="T170" s="247">
        <f t="shared" si="17"/>
        <v>0</v>
      </c>
      <c r="U170" s="183">
        <f t="shared" si="18"/>
        <v>0</v>
      </c>
      <c r="V170" s="204" t="s">
        <v>26</v>
      </c>
      <c r="W170" s="326"/>
    </row>
    <row r="171" spans="1:23" ht="15.75" x14ac:dyDescent="0.25">
      <c r="A171" s="96"/>
      <c r="B171" s="97"/>
      <c r="C171" s="97"/>
      <c r="D171" s="97"/>
      <c r="E171" s="104"/>
      <c r="F171" s="104"/>
      <c r="G171" s="109"/>
      <c r="H171" s="107">
        <v>4</v>
      </c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254"/>
      <c r="T171" s="247">
        <f t="shared" si="17"/>
        <v>4</v>
      </c>
      <c r="U171" s="183">
        <f t="shared" si="18"/>
        <v>1.8957345971563982E-3</v>
      </c>
      <c r="V171" s="207" t="s">
        <v>35</v>
      </c>
      <c r="W171" s="356"/>
    </row>
    <row r="172" spans="1:23" ht="15.75" x14ac:dyDescent="0.25">
      <c r="A172" s="96"/>
      <c r="B172" s="97"/>
      <c r="C172" s="97"/>
      <c r="D172" s="97"/>
      <c r="E172" s="104"/>
      <c r="F172" s="104"/>
      <c r="G172" s="109"/>
      <c r="H172" s="107">
        <v>4</v>
      </c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254"/>
      <c r="T172" s="247">
        <f t="shared" si="17"/>
        <v>4</v>
      </c>
      <c r="U172" s="183">
        <f t="shared" si="18"/>
        <v>1.8957345971563982E-3</v>
      </c>
      <c r="V172" s="207" t="s">
        <v>262</v>
      </c>
      <c r="W172" s="429"/>
    </row>
    <row r="173" spans="1:23" ht="15.75" x14ac:dyDescent="0.25">
      <c r="A173" s="96"/>
      <c r="B173" s="97"/>
      <c r="C173" s="97"/>
      <c r="D173" s="97"/>
      <c r="E173" s="104"/>
      <c r="F173" s="104"/>
      <c r="G173" s="109"/>
      <c r="H173" s="107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254"/>
      <c r="T173" s="247">
        <f t="shared" si="17"/>
        <v>0</v>
      </c>
      <c r="U173" s="183">
        <f t="shared" si="18"/>
        <v>0</v>
      </c>
      <c r="V173" s="203" t="s">
        <v>12</v>
      </c>
      <c r="W173" s="326"/>
    </row>
    <row r="174" spans="1:23" ht="16.5" thickBot="1" x14ac:dyDescent="0.3">
      <c r="A174" s="117"/>
      <c r="B174" s="118"/>
      <c r="C174" s="118"/>
      <c r="D174" s="118"/>
      <c r="E174" s="119"/>
      <c r="F174" s="119"/>
      <c r="G174" s="120"/>
      <c r="H174" s="107">
        <v>37</v>
      </c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254"/>
      <c r="T174" s="247">
        <f t="shared" si="17"/>
        <v>37</v>
      </c>
      <c r="U174" s="299">
        <f>($T174)/$D$134</f>
        <v>1.7535545023696683E-2</v>
      </c>
      <c r="V174" s="205" t="s">
        <v>148</v>
      </c>
      <c r="W174" s="352"/>
    </row>
    <row r="175" spans="1:23" ht="15.75" thickBot="1" x14ac:dyDescent="0.3">
      <c r="A175" s="122"/>
      <c r="B175" s="122"/>
      <c r="C175" s="122"/>
      <c r="D175" s="122"/>
      <c r="E175" s="122"/>
      <c r="F175" s="122"/>
      <c r="G175" s="47" t="s">
        <v>4</v>
      </c>
      <c r="H175" s="123">
        <f t="shared" ref="H175:S175" si="19">SUM(H135:H174)</f>
        <v>190</v>
      </c>
      <c r="I175" s="123">
        <f t="shared" si="19"/>
        <v>137</v>
      </c>
      <c r="J175" s="123">
        <f t="shared" si="19"/>
        <v>30</v>
      </c>
      <c r="K175" s="123">
        <f t="shared" si="19"/>
        <v>0</v>
      </c>
      <c r="L175" s="123">
        <f t="shared" si="19"/>
        <v>0</v>
      </c>
      <c r="M175" s="123">
        <f t="shared" si="19"/>
        <v>0</v>
      </c>
      <c r="N175" s="123">
        <f t="shared" si="19"/>
        <v>0</v>
      </c>
      <c r="O175" s="123">
        <f t="shared" si="19"/>
        <v>0</v>
      </c>
      <c r="P175" s="123">
        <f t="shared" si="19"/>
        <v>0</v>
      </c>
      <c r="Q175" s="123">
        <f t="shared" si="19"/>
        <v>0</v>
      </c>
      <c r="R175" s="123">
        <f t="shared" si="19"/>
        <v>6</v>
      </c>
      <c r="S175" s="123">
        <f t="shared" si="19"/>
        <v>24</v>
      </c>
      <c r="T175" s="198">
        <f>SUM(H175,J175,L175,N175,P175,R175,S175)</f>
        <v>250</v>
      </c>
      <c r="U175" s="333">
        <f>($T175)/$D$134</f>
        <v>0.11848341232227488</v>
      </c>
      <c r="V175" s="40"/>
    </row>
    <row r="177" spans="1:23" ht="15.75" thickBot="1" x14ac:dyDescent="0.3"/>
    <row r="178" spans="1:23" ht="75.75" thickBot="1" x14ac:dyDescent="0.3">
      <c r="A178" s="42" t="s">
        <v>22</v>
      </c>
      <c r="B178" s="42" t="s">
        <v>47</v>
      </c>
      <c r="C178" s="43" t="s">
        <v>52</v>
      </c>
      <c r="D178" s="43" t="s">
        <v>17</v>
      </c>
      <c r="E178" s="42" t="s">
        <v>16</v>
      </c>
      <c r="F178" s="44" t="s">
        <v>1</v>
      </c>
      <c r="G178" s="45" t="s">
        <v>23</v>
      </c>
      <c r="H178" s="46" t="s">
        <v>72</v>
      </c>
      <c r="I178" s="46" t="s">
        <v>73</v>
      </c>
      <c r="J178" s="46" t="s">
        <v>53</v>
      </c>
      <c r="K178" s="46" t="s">
        <v>58</v>
      </c>
      <c r="L178" s="46" t="s">
        <v>54</v>
      </c>
      <c r="M178" s="46" t="s">
        <v>59</v>
      </c>
      <c r="N178" s="46" t="s">
        <v>55</v>
      </c>
      <c r="O178" s="46" t="s">
        <v>60</v>
      </c>
      <c r="P178" s="46" t="s">
        <v>56</v>
      </c>
      <c r="Q178" s="46" t="s">
        <v>74</v>
      </c>
      <c r="R178" s="46" t="s">
        <v>115</v>
      </c>
      <c r="S178" s="46" t="s">
        <v>41</v>
      </c>
      <c r="T178" s="46" t="s">
        <v>4</v>
      </c>
      <c r="U178" s="42" t="s">
        <v>2</v>
      </c>
      <c r="V178" s="80" t="s">
        <v>20</v>
      </c>
      <c r="W178" s="81" t="s">
        <v>6</v>
      </c>
    </row>
    <row r="179" spans="1:23" ht="15.75" thickBot="1" x14ac:dyDescent="0.3">
      <c r="A179" s="316">
        <v>1512026</v>
      </c>
      <c r="B179" s="209" t="s">
        <v>110</v>
      </c>
      <c r="C179" s="316">
        <v>1920</v>
      </c>
      <c r="D179" s="316">
        <v>2186</v>
      </c>
      <c r="E179" s="321">
        <v>1860</v>
      </c>
      <c r="F179" s="322">
        <f>E179/D179</f>
        <v>0.85086916742909424</v>
      </c>
      <c r="G179" s="48">
        <v>45316</v>
      </c>
      <c r="H179" s="82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4"/>
      <c r="T179" s="296"/>
      <c r="U179" s="115"/>
      <c r="V179" s="86" t="s">
        <v>75</v>
      </c>
      <c r="W179" s="353" t="s">
        <v>70</v>
      </c>
    </row>
    <row r="180" spans="1:23" ht="15.75" x14ac:dyDescent="0.25">
      <c r="A180" s="87"/>
      <c r="B180" s="88"/>
      <c r="C180" s="88"/>
      <c r="D180" s="88"/>
      <c r="E180" s="88"/>
      <c r="F180" s="88"/>
      <c r="G180" s="89"/>
      <c r="H180" s="90">
        <v>3</v>
      </c>
      <c r="I180" s="91"/>
      <c r="J180" s="91">
        <v>1</v>
      </c>
      <c r="K180" s="91"/>
      <c r="L180" s="91"/>
      <c r="M180" s="91"/>
      <c r="N180" s="91"/>
      <c r="O180" s="91"/>
      <c r="P180" s="91"/>
      <c r="Q180" s="91"/>
      <c r="R180" s="91"/>
      <c r="S180" s="250">
        <v>5</v>
      </c>
      <c r="T180" s="249">
        <f>SUM(H180,J180,L180,N180,P180,R180,S180)</f>
        <v>9</v>
      </c>
      <c r="U180" s="349">
        <f>($T180)/$D$179</f>
        <v>4.1171088746569072E-3</v>
      </c>
      <c r="V180" s="202" t="s">
        <v>15</v>
      </c>
      <c r="W180" s="210" t="s">
        <v>120</v>
      </c>
    </row>
    <row r="181" spans="1:23" ht="15.75" x14ac:dyDescent="0.25">
      <c r="A181" s="96"/>
      <c r="B181" s="97"/>
      <c r="C181" s="97"/>
      <c r="D181" s="97"/>
      <c r="E181" s="97"/>
      <c r="F181" s="97"/>
      <c r="G181" s="98"/>
      <c r="H181" s="348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253"/>
      <c r="T181" s="249">
        <f>SUM(H181,J181,L181,N181,P181,R181,S181)</f>
        <v>0</v>
      </c>
      <c r="U181" s="299">
        <f>($T181)/$D$179</f>
        <v>0</v>
      </c>
      <c r="V181" s="206" t="s">
        <v>43</v>
      </c>
      <c r="W181" s="210" t="s">
        <v>154</v>
      </c>
    </row>
    <row r="182" spans="1:23" ht="15.75" x14ac:dyDescent="0.25">
      <c r="A182" s="96"/>
      <c r="B182" s="97"/>
      <c r="C182" s="97"/>
      <c r="D182" s="97"/>
      <c r="E182" s="97"/>
      <c r="F182" s="97"/>
      <c r="G182" s="98"/>
      <c r="H182" s="99">
        <v>46</v>
      </c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251">
        <v>1</v>
      </c>
      <c r="T182" s="247">
        <f t="shared" ref="T182:T208" si="20">SUM(H182,J182,L182,N182,P182,R182,S182)</f>
        <v>47</v>
      </c>
      <c r="U182" s="299">
        <f t="shared" ref="U182:U194" si="21">($T182)/$D$179</f>
        <v>2.1500457456541628E-2</v>
      </c>
      <c r="V182" s="203" t="s">
        <v>5</v>
      </c>
      <c r="W182" s="351"/>
    </row>
    <row r="183" spans="1:23" ht="15.75" x14ac:dyDescent="0.25">
      <c r="A183" s="96"/>
      <c r="B183" s="97"/>
      <c r="C183" s="97"/>
      <c r="D183" s="97"/>
      <c r="E183" s="104"/>
      <c r="F183" s="104"/>
      <c r="G183" s="98"/>
      <c r="H183" s="99">
        <v>82</v>
      </c>
      <c r="I183" s="63"/>
      <c r="J183" s="63">
        <v>1</v>
      </c>
      <c r="K183" s="63"/>
      <c r="L183" s="63"/>
      <c r="M183" s="63"/>
      <c r="N183" s="63"/>
      <c r="O183" s="63"/>
      <c r="P183" s="63"/>
      <c r="Q183" s="63"/>
      <c r="R183" s="63"/>
      <c r="S183" s="251">
        <v>2</v>
      </c>
      <c r="T183" s="247">
        <f t="shared" si="20"/>
        <v>85</v>
      </c>
      <c r="U183" s="299">
        <f t="shared" si="21"/>
        <v>3.8883806038426352E-2</v>
      </c>
      <c r="V183" s="203" t="s">
        <v>13</v>
      </c>
      <c r="W183" s="244"/>
    </row>
    <row r="184" spans="1:23" ht="15.75" x14ac:dyDescent="0.25">
      <c r="A184" s="96"/>
      <c r="B184" s="97"/>
      <c r="C184" s="97"/>
      <c r="D184" s="97"/>
      <c r="E184" s="104"/>
      <c r="F184" s="104"/>
      <c r="G184" s="98"/>
      <c r="H184" s="99">
        <v>6</v>
      </c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251">
        <v>1</v>
      </c>
      <c r="T184" s="247">
        <f t="shared" si="20"/>
        <v>7</v>
      </c>
      <c r="U184" s="299">
        <f t="shared" si="21"/>
        <v>3.2021957913998169E-3</v>
      </c>
      <c r="V184" s="203" t="s">
        <v>14</v>
      </c>
      <c r="W184" s="311"/>
    </row>
    <row r="185" spans="1:23" ht="15.75" x14ac:dyDescent="0.25">
      <c r="A185" s="96"/>
      <c r="B185" s="97"/>
      <c r="C185" s="97"/>
      <c r="D185" s="97"/>
      <c r="E185" s="104"/>
      <c r="F185" s="104"/>
      <c r="G185" s="98"/>
      <c r="H185" s="99">
        <v>27</v>
      </c>
      <c r="I185" s="63"/>
      <c r="J185" s="63">
        <v>4</v>
      </c>
      <c r="K185" s="63"/>
      <c r="L185" s="63"/>
      <c r="M185" s="63"/>
      <c r="N185" s="63"/>
      <c r="O185" s="63"/>
      <c r="P185" s="63"/>
      <c r="Q185" s="63"/>
      <c r="R185" s="63"/>
      <c r="S185" s="251"/>
      <c r="T185" s="247">
        <f t="shared" si="20"/>
        <v>31</v>
      </c>
      <c r="U185" s="299">
        <f t="shared" si="21"/>
        <v>1.4181152790484904E-2</v>
      </c>
      <c r="V185" s="203" t="s">
        <v>30</v>
      </c>
      <c r="W185" s="311"/>
    </row>
    <row r="186" spans="1:23" ht="15.75" x14ac:dyDescent="0.25">
      <c r="A186" s="96"/>
      <c r="B186" s="97"/>
      <c r="C186" s="97"/>
      <c r="D186" s="97"/>
      <c r="E186" s="104"/>
      <c r="F186" s="104"/>
      <c r="G186" s="98"/>
      <c r="H186" s="99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251"/>
      <c r="T186" s="247">
        <f t="shared" si="20"/>
        <v>0</v>
      </c>
      <c r="U186" s="299">
        <f t="shared" si="21"/>
        <v>0</v>
      </c>
      <c r="V186" s="203" t="s">
        <v>31</v>
      </c>
      <c r="W186" s="105"/>
    </row>
    <row r="187" spans="1:23" ht="15.75" x14ac:dyDescent="0.25">
      <c r="A187" s="96"/>
      <c r="B187" s="97"/>
      <c r="C187" s="97"/>
      <c r="D187" s="97"/>
      <c r="E187" s="104"/>
      <c r="F187" s="104"/>
      <c r="G187" s="98"/>
      <c r="H187" s="99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251"/>
      <c r="T187" s="247">
        <f t="shared" si="20"/>
        <v>0</v>
      </c>
      <c r="U187" s="299">
        <f t="shared" si="21"/>
        <v>0</v>
      </c>
      <c r="V187" s="203" t="s">
        <v>168</v>
      </c>
      <c r="W187" s="323"/>
    </row>
    <row r="188" spans="1:23" ht="15.75" x14ac:dyDescent="0.25">
      <c r="A188" s="96"/>
      <c r="B188" s="97"/>
      <c r="C188" s="97"/>
      <c r="D188" s="97"/>
      <c r="E188" s="104"/>
      <c r="F188" s="104"/>
      <c r="G188" s="98"/>
      <c r="H188" s="99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251"/>
      <c r="T188" s="247">
        <f t="shared" si="20"/>
        <v>0</v>
      </c>
      <c r="U188" s="299">
        <f t="shared" si="21"/>
        <v>0</v>
      </c>
      <c r="V188" s="204" t="s">
        <v>202</v>
      </c>
      <c r="W188" s="105"/>
    </row>
    <row r="189" spans="1:23" ht="15.75" x14ac:dyDescent="0.25">
      <c r="A189" s="96"/>
      <c r="B189" s="97"/>
      <c r="C189" s="97"/>
      <c r="D189" s="97"/>
      <c r="E189" s="104"/>
      <c r="F189" s="104"/>
      <c r="G189" s="98"/>
      <c r="H189" s="99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251">
        <v>6</v>
      </c>
      <c r="T189" s="247">
        <f t="shared" si="20"/>
        <v>6</v>
      </c>
      <c r="U189" s="299">
        <f t="shared" si="21"/>
        <v>2.7447392497712718E-3</v>
      </c>
      <c r="V189" s="203" t="s">
        <v>0</v>
      </c>
      <c r="W189" s="354"/>
    </row>
    <row r="190" spans="1:23" ht="15.75" x14ac:dyDescent="0.25">
      <c r="A190" s="96"/>
      <c r="B190" s="97" t="s">
        <v>298</v>
      </c>
      <c r="C190" s="97"/>
      <c r="D190" s="97"/>
      <c r="E190" s="104"/>
      <c r="F190" s="104"/>
      <c r="G190" s="98"/>
      <c r="H190" s="99">
        <v>22</v>
      </c>
      <c r="I190" s="63"/>
      <c r="J190" s="63">
        <v>3</v>
      </c>
      <c r="K190" s="63"/>
      <c r="L190" s="63"/>
      <c r="M190" s="63"/>
      <c r="N190" s="63"/>
      <c r="O190" s="63"/>
      <c r="P190" s="63"/>
      <c r="Q190" s="63"/>
      <c r="R190" s="63"/>
      <c r="S190" s="251">
        <v>14</v>
      </c>
      <c r="T190" s="247">
        <f t="shared" si="20"/>
        <v>39</v>
      </c>
      <c r="U190" s="299">
        <f t="shared" si="21"/>
        <v>1.7840805123513267E-2</v>
      </c>
      <c r="V190" s="203" t="s">
        <v>11</v>
      </c>
      <c r="W190" s="354"/>
    </row>
    <row r="191" spans="1:23" ht="15.75" x14ac:dyDescent="0.25">
      <c r="A191" s="96"/>
      <c r="B191" s="97"/>
      <c r="C191" s="97"/>
      <c r="D191" s="97"/>
      <c r="E191" s="104"/>
      <c r="F191" s="104" t="s">
        <v>100</v>
      </c>
      <c r="G191" s="98"/>
      <c r="H191" s="99">
        <v>29</v>
      </c>
      <c r="I191" s="63"/>
      <c r="J191" s="63">
        <v>1</v>
      </c>
      <c r="K191" s="63"/>
      <c r="L191" s="63"/>
      <c r="M191" s="63"/>
      <c r="N191" s="63"/>
      <c r="O191" s="63"/>
      <c r="P191" s="63"/>
      <c r="Q191" s="63"/>
      <c r="R191" s="63"/>
      <c r="S191" s="251"/>
      <c r="T191" s="247">
        <f t="shared" si="20"/>
        <v>30</v>
      </c>
      <c r="U191" s="299">
        <f t="shared" si="21"/>
        <v>1.3723696248856358E-2</v>
      </c>
      <c r="V191" s="203" t="s">
        <v>33</v>
      </c>
      <c r="W191" s="326"/>
    </row>
    <row r="192" spans="1:23" ht="15.75" x14ac:dyDescent="0.25">
      <c r="A192" s="96"/>
      <c r="B192" s="97"/>
      <c r="C192" s="97"/>
      <c r="D192" s="97"/>
      <c r="E192" s="104"/>
      <c r="F192" s="104"/>
      <c r="G192" s="98"/>
      <c r="H192" s="99"/>
      <c r="I192" s="63"/>
      <c r="J192" s="63">
        <v>3</v>
      </c>
      <c r="K192" s="63"/>
      <c r="L192" s="63"/>
      <c r="M192" s="63"/>
      <c r="N192" s="63"/>
      <c r="O192" s="63"/>
      <c r="P192" s="63"/>
      <c r="Q192" s="63"/>
      <c r="R192" s="63">
        <v>2</v>
      </c>
      <c r="S192" s="251"/>
      <c r="T192" s="247">
        <f t="shared" si="20"/>
        <v>5</v>
      </c>
      <c r="U192" s="299">
        <f t="shared" si="21"/>
        <v>2.2872827081427266E-3</v>
      </c>
      <c r="V192" s="204" t="s">
        <v>27</v>
      </c>
      <c r="W192" s="354"/>
    </row>
    <row r="193" spans="1:23" ht="15.75" x14ac:dyDescent="0.25">
      <c r="A193" s="96"/>
      <c r="B193" s="97"/>
      <c r="C193" s="97"/>
      <c r="D193" s="97"/>
      <c r="E193" s="104"/>
      <c r="F193" s="104"/>
      <c r="G193" s="109"/>
      <c r="H193" s="110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251"/>
      <c r="T193" s="247">
        <f t="shared" si="20"/>
        <v>0</v>
      </c>
      <c r="U193" s="299">
        <f t="shared" si="21"/>
        <v>0</v>
      </c>
      <c r="V193" s="204" t="s">
        <v>26</v>
      </c>
      <c r="W193" s="212"/>
    </row>
    <row r="194" spans="1:23" ht="15.75" x14ac:dyDescent="0.25">
      <c r="A194" s="96"/>
      <c r="B194" s="97"/>
      <c r="C194" s="97"/>
      <c r="D194" s="97"/>
      <c r="E194" s="104"/>
      <c r="F194" s="104"/>
      <c r="G194" s="109"/>
      <c r="H194" s="110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251"/>
      <c r="T194" s="247">
        <f t="shared" si="20"/>
        <v>0</v>
      </c>
      <c r="U194" s="299">
        <f t="shared" si="21"/>
        <v>0</v>
      </c>
      <c r="V194" s="204" t="s">
        <v>148</v>
      </c>
      <c r="W194" s="103"/>
    </row>
    <row r="195" spans="1:23" ht="16.5" thickBot="1" x14ac:dyDescent="0.3">
      <c r="A195" s="96"/>
      <c r="B195" s="97"/>
      <c r="C195" s="97"/>
      <c r="D195" s="97"/>
      <c r="E195" s="104"/>
      <c r="F195" s="104"/>
      <c r="G195" s="109"/>
      <c r="H195" s="186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>
        <v>3</v>
      </c>
      <c r="S195" s="252"/>
      <c r="T195" s="248">
        <f t="shared" si="20"/>
        <v>3</v>
      </c>
      <c r="U195" s="245">
        <f>($T195)/$D$179</f>
        <v>1.3723696248856359E-3</v>
      </c>
      <c r="V195" s="205" t="s">
        <v>297</v>
      </c>
      <c r="W195" s="212"/>
    </row>
    <row r="196" spans="1:23" ht="15.75" x14ac:dyDescent="0.25">
      <c r="A196" s="96"/>
      <c r="B196" s="97"/>
      <c r="C196" s="97"/>
      <c r="D196" s="97"/>
      <c r="E196" s="104"/>
      <c r="F196" s="104"/>
      <c r="G196" s="98"/>
      <c r="H196" s="90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253"/>
      <c r="T196" s="249">
        <f t="shared" si="20"/>
        <v>0</v>
      </c>
      <c r="U196" s="183">
        <f>($T196)/$D$179</f>
        <v>0</v>
      </c>
      <c r="V196" s="206" t="s">
        <v>10</v>
      </c>
      <c r="W196" s="106"/>
    </row>
    <row r="197" spans="1:23" ht="15.75" x14ac:dyDescent="0.25">
      <c r="A197" s="96"/>
      <c r="B197" s="97"/>
      <c r="C197" s="97"/>
      <c r="D197" s="97"/>
      <c r="E197" s="104"/>
      <c r="F197" s="104"/>
      <c r="G197" s="98"/>
      <c r="H197" s="99"/>
      <c r="I197" s="213">
        <v>6</v>
      </c>
      <c r="J197" s="63"/>
      <c r="K197" s="63"/>
      <c r="L197" s="63"/>
      <c r="M197" s="63"/>
      <c r="N197" s="63"/>
      <c r="O197" s="63"/>
      <c r="P197" s="63"/>
      <c r="Q197" s="63"/>
      <c r="R197" s="63"/>
      <c r="S197" s="251"/>
      <c r="T197" s="247">
        <f t="shared" si="20"/>
        <v>0</v>
      </c>
      <c r="U197" s="93">
        <f>($T197)/$D$179</f>
        <v>0</v>
      </c>
      <c r="V197" s="331" t="s">
        <v>94</v>
      </c>
      <c r="W197" s="106"/>
    </row>
    <row r="198" spans="1:23" ht="15.75" x14ac:dyDescent="0.25">
      <c r="A198" s="96"/>
      <c r="B198" s="97"/>
      <c r="C198" s="97"/>
      <c r="D198" s="97"/>
      <c r="E198" s="104"/>
      <c r="F198" s="104"/>
      <c r="G198" s="98"/>
      <c r="H198" s="99"/>
      <c r="I198" s="214">
        <v>2</v>
      </c>
      <c r="J198" s="63">
        <v>3</v>
      </c>
      <c r="K198" s="63"/>
      <c r="L198" s="63"/>
      <c r="M198" s="63"/>
      <c r="N198" s="63"/>
      <c r="O198" s="63"/>
      <c r="P198" s="63"/>
      <c r="Q198" s="63"/>
      <c r="R198" s="63"/>
      <c r="S198" s="251">
        <v>1</v>
      </c>
      <c r="T198" s="247">
        <f t="shared" si="20"/>
        <v>4</v>
      </c>
      <c r="U198" s="93">
        <f t="shared" ref="U198:U207" si="22">($T198)/$D$179</f>
        <v>1.8298261665141812E-3</v>
      </c>
      <c r="V198" s="203" t="s">
        <v>3</v>
      </c>
      <c r="W198" s="105"/>
    </row>
    <row r="199" spans="1:23" ht="15.75" x14ac:dyDescent="0.25">
      <c r="A199" s="96"/>
      <c r="B199" s="97"/>
      <c r="C199" s="97"/>
      <c r="D199" s="97"/>
      <c r="E199" s="97"/>
      <c r="F199" s="104"/>
      <c r="G199" s="98"/>
      <c r="H199" s="99"/>
      <c r="I199" s="214">
        <v>67</v>
      </c>
      <c r="J199" s="63">
        <v>2</v>
      </c>
      <c r="K199" s="63"/>
      <c r="L199" s="63"/>
      <c r="M199" s="63"/>
      <c r="N199" s="63"/>
      <c r="O199" s="63"/>
      <c r="P199" s="63"/>
      <c r="Q199" s="63"/>
      <c r="R199" s="63"/>
      <c r="S199" s="251"/>
      <c r="T199" s="247">
        <f t="shared" si="20"/>
        <v>2</v>
      </c>
      <c r="U199" s="93">
        <f t="shared" si="22"/>
        <v>9.1491308325709062E-4</v>
      </c>
      <c r="V199" s="203" t="s">
        <v>7</v>
      </c>
      <c r="W199" s="106"/>
    </row>
    <row r="200" spans="1:23" ht="15.75" x14ac:dyDescent="0.25">
      <c r="A200" s="96"/>
      <c r="B200" s="97"/>
      <c r="C200" s="97"/>
      <c r="D200" s="97"/>
      <c r="E200" s="97"/>
      <c r="F200" s="104"/>
      <c r="G200" s="98"/>
      <c r="H200" s="99"/>
      <c r="I200" s="214"/>
      <c r="J200" s="63"/>
      <c r="K200" s="63"/>
      <c r="L200" s="63"/>
      <c r="M200" s="63"/>
      <c r="N200" s="63"/>
      <c r="O200" s="63"/>
      <c r="P200" s="63"/>
      <c r="Q200" s="63"/>
      <c r="R200" s="63"/>
      <c r="S200" s="251"/>
      <c r="T200" s="247">
        <f t="shared" si="20"/>
        <v>0</v>
      </c>
      <c r="U200" s="93">
        <f t="shared" si="22"/>
        <v>0</v>
      </c>
      <c r="V200" s="203" t="s">
        <v>8</v>
      </c>
      <c r="W200" s="354"/>
    </row>
    <row r="201" spans="1:23" ht="15.75" x14ac:dyDescent="0.25">
      <c r="A201" s="96"/>
      <c r="B201" s="97"/>
      <c r="C201" s="97"/>
      <c r="D201" s="97"/>
      <c r="E201" s="97"/>
      <c r="F201" s="104"/>
      <c r="G201" s="98"/>
      <c r="H201" s="99"/>
      <c r="I201" s="214"/>
      <c r="J201" s="63"/>
      <c r="K201" s="63"/>
      <c r="L201" s="63"/>
      <c r="M201" s="63"/>
      <c r="N201" s="63"/>
      <c r="O201" s="63"/>
      <c r="P201" s="63"/>
      <c r="Q201" s="63"/>
      <c r="R201" s="63"/>
      <c r="S201" s="251"/>
      <c r="T201" s="247">
        <f t="shared" si="20"/>
        <v>0</v>
      </c>
      <c r="U201" s="93">
        <f t="shared" si="22"/>
        <v>0</v>
      </c>
      <c r="V201" s="203" t="s">
        <v>77</v>
      </c>
      <c r="W201" s="354" t="s">
        <v>280</v>
      </c>
    </row>
    <row r="202" spans="1:23" ht="15.75" x14ac:dyDescent="0.25">
      <c r="A202" s="96"/>
      <c r="B202" s="97"/>
      <c r="C202" s="97"/>
      <c r="D202" s="97"/>
      <c r="E202" s="97"/>
      <c r="F202" s="104"/>
      <c r="G202" s="98"/>
      <c r="H202" s="99"/>
      <c r="I202" s="214">
        <v>2</v>
      </c>
      <c r="J202" s="63"/>
      <c r="K202" s="63"/>
      <c r="L202" s="63"/>
      <c r="M202" s="63"/>
      <c r="N202" s="63"/>
      <c r="O202" s="63"/>
      <c r="P202" s="63"/>
      <c r="Q202" s="63"/>
      <c r="R202" s="63"/>
      <c r="S202" s="251"/>
      <c r="T202" s="247">
        <f t="shared" si="20"/>
        <v>0</v>
      </c>
      <c r="U202" s="93">
        <f t="shared" si="22"/>
        <v>0</v>
      </c>
      <c r="V202" s="203" t="s">
        <v>19</v>
      </c>
      <c r="W202" s="354" t="s">
        <v>281</v>
      </c>
    </row>
    <row r="203" spans="1:23" ht="15.75" x14ac:dyDescent="0.25">
      <c r="A203" s="96"/>
      <c r="B203" s="97"/>
      <c r="C203" s="97"/>
      <c r="D203" s="97"/>
      <c r="E203" s="97"/>
      <c r="F203" s="104"/>
      <c r="G203" s="98"/>
      <c r="H203" s="99"/>
      <c r="I203" s="214"/>
      <c r="J203" s="63"/>
      <c r="K203" s="63"/>
      <c r="L203" s="63"/>
      <c r="M203" s="63"/>
      <c r="N203" s="63"/>
      <c r="O203" s="63"/>
      <c r="P203" s="63"/>
      <c r="Q203" s="63"/>
      <c r="R203" s="63"/>
      <c r="S203" s="251"/>
      <c r="T203" s="247">
        <f t="shared" si="20"/>
        <v>0</v>
      </c>
      <c r="U203" s="93">
        <f t="shared" si="22"/>
        <v>0</v>
      </c>
      <c r="V203" s="203" t="s">
        <v>78</v>
      </c>
      <c r="W203" s="354"/>
    </row>
    <row r="204" spans="1:23" ht="15.75" x14ac:dyDescent="0.25">
      <c r="A204" s="96"/>
      <c r="B204" s="97"/>
      <c r="C204" s="97"/>
      <c r="D204" s="97"/>
      <c r="E204" s="97"/>
      <c r="F204" s="104"/>
      <c r="G204" s="98"/>
      <c r="H204" s="99"/>
      <c r="I204" s="214"/>
      <c r="J204" s="63"/>
      <c r="K204" s="63"/>
      <c r="L204" s="63"/>
      <c r="M204" s="63"/>
      <c r="N204" s="63"/>
      <c r="O204" s="63"/>
      <c r="P204" s="63"/>
      <c r="Q204" s="63"/>
      <c r="R204" s="63"/>
      <c r="S204" s="251"/>
      <c r="T204" s="247">
        <f t="shared" si="20"/>
        <v>0</v>
      </c>
      <c r="U204" s="93">
        <f t="shared" si="22"/>
        <v>0</v>
      </c>
      <c r="V204" s="332" t="s">
        <v>170</v>
      </c>
      <c r="W204" s="354"/>
    </row>
    <row r="205" spans="1:23" ht="15.75" x14ac:dyDescent="0.25">
      <c r="A205" s="96"/>
      <c r="B205" s="97"/>
      <c r="C205" s="97"/>
      <c r="D205" s="97"/>
      <c r="E205" s="104"/>
      <c r="F205" s="104"/>
      <c r="G205" s="98"/>
      <c r="H205" s="99"/>
      <c r="I205" s="214">
        <v>10</v>
      </c>
      <c r="J205" s="63"/>
      <c r="K205" s="63"/>
      <c r="L205" s="63"/>
      <c r="M205" s="63"/>
      <c r="N205" s="63"/>
      <c r="O205" s="63"/>
      <c r="P205" s="63"/>
      <c r="Q205" s="63"/>
      <c r="R205" s="63"/>
      <c r="S205" s="251"/>
      <c r="T205" s="247">
        <f t="shared" si="20"/>
        <v>0</v>
      </c>
      <c r="U205" s="93">
        <f t="shared" si="22"/>
        <v>0</v>
      </c>
      <c r="V205" s="203" t="s">
        <v>12</v>
      </c>
      <c r="W205" s="326"/>
    </row>
    <row r="206" spans="1:23" ht="15.75" x14ac:dyDescent="0.25">
      <c r="A206" s="96"/>
      <c r="B206" s="97"/>
      <c r="C206" s="97"/>
      <c r="D206" s="97"/>
      <c r="E206" s="104"/>
      <c r="F206" s="104"/>
      <c r="G206" s="98"/>
      <c r="H206" s="99"/>
      <c r="I206" s="63">
        <v>8</v>
      </c>
      <c r="J206" s="63"/>
      <c r="K206" s="63"/>
      <c r="L206" s="63"/>
      <c r="M206" s="63"/>
      <c r="N206" s="63"/>
      <c r="O206" s="63"/>
      <c r="P206" s="63"/>
      <c r="Q206" s="63"/>
      <c r="R206" s="63">
        <v>2</v>
      </c>
      <c r="S206" s="251">
        <v>3</v>
      </c>
      <c r="T206" s="247">
        <f t="shared" si="20"/>
        <v>5</v>
      </c>
      <c r="U206" s="93">
        <f t="shared" si="22"/>
        <v>2.2872827081427266E-3</v>
      </c>
      <c r="V206" s="204" t="s">
        <v>164</v>
      </c>
      <c r="W206" s="354"/>
    </row>
    <row r="207" spans="1:23" ht="15.75" x14ac:dyDescent="0.25">
      <c r="A207" s="96"/>
      <c r="B207" s="97"/>
      <c r="C207" s="97"/>
      <c r="D207" s="97"/>
      <c r="E207" s="104"/>
      <c r="F207" s="104"/>
      <c r="G207" s="98"/>
      <c r="H207" s="99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251"/>
      <c r="T207" s="247">
        <f t="shared" si="20"/>
        <v>0</v>
      </c>
      <c r="U207" s="93">
        <f t="shared" si="22"/>
        <v>0</v>
      </c>
      <c r="V207" s="204" t="s">
        <v>92</v>
      </c>
      <c r="W207" s="326"/>
    </row>
    <row r="208" spans="1:23" ht="16.5" thickBot="1" x14ac:dyDescent="0.3">
      <c r="A208" s="96"/>
      <c r="B208" s="97"/>
      <c r="C208" s="97"/>
      <c r="D208" s="97"/>
      <c r="E208" s="104"/>
      <c r="F208" s="104"/>
      <c r="G208" s="98"/>
      <c r="H208" s="107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>
        <v>2</v>
      </c>
      <c r="S208" s="254"/>
      <c r="T208" s="248">
        <f t="shared" si="20"/>
        <v>2</v>
      </c>
      <c r="U208" s="299">
        <f>($T208)/$D$179</f>
        <v>9.1491308325709062E-4</v>
      </c>
      <c r="V208" s="357" t="s">
        <v>296</v>
      </c>
      <c r="W208" s="326"/>
    </row>
    <row r="209" spans="1:23" ht="16.5" thickBot="1" x14ac:dyDescent="0.3">
      <c r="A209" s="96"/>
      <c r="B209" s="97"/>
      <c r="C209" s="97"/>
      <c r="D209" s="97"/>
      <c r="E209" s="104"/>
      <c r="F209" s="104"/>
      <c r="G209" s="98"/>
      <c r="H209" s="430"/>
      <c r="I209" s="431"/>
      <c r="J209" s="432"/>
      <c r="K209" s="431"/>
      <c r="L209" s="431"/>
      <c r="M209" s="431"/>
      <c r="N209" s="431"/>
      <c r="O209" s="431"/>
      <c r="P209" s="431"/>
      <c r="Q209" s="431"/>
      <c r="R209" s="431"/>
      <c r="S209" s="431"/>
      <c r="T209" s="433"/>
      <c r="U209" s="433"/>
      <c r="V209" s="441" t="s">
        <v>267</v>
      </c>
      <c r="W209" s="354" t="s">
        <v>259</v>
      </c>
    </row>
    <row r="210" spans="1:23" ht="15.75" x14ac:dyDescent="0.25">
      <c r="A210" s="96"/>
      <c r="B210" s="97"/>
      <c r="C210" s="97"/>
      <c r="D210" s="97"/>
      <c r="E210" s="104"/>
      <c r="F210" s="104"/>
      <c r="G210" s="109"/>
      <c r="H210" s="90">
        <v>1</v>
      </c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250"/>
      <c r="T210" s="249">
        <f t="shared" ref="T210:T219" si="23">SUM(H210,J210,L210,N210,P210,R210,S210)</f>
        <v>1</v>
      </c>
      <c r="U210" s="183">
        <f>($T210)/$D$179</f>
        <v>4.5745654162854531E-4</v>
      </c>
      <c r="V210" s="202" t="s">
        <v>89</v>
      </c>
      <c r="W210" s="354" t="s">
        <v>260</v>
      </c>
    </row>
    <row r="211" spans="1:23" ht="15.75" x14ac:dyDescent="0.25">
      <c r="A211" s="96"/>
      <c r="B211" s="97"/>
      <c r="C211" s="97"/>
      <c r="D211" s="97"/>
      <c r="E211" s="104"/>
      <c r="F211" s="104"/>
      <c r="G211" s="109"/>
      <c r="H211" s="99">
        <v>6</v>
      </c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251"/>
      <c r="T211" s="247">
        <f t="shared" si="23"/>
        <v>6</v>
      </c>
      <c r="U211" s="183">
        <f>($T211)/$D$179</f>
        <v>2.7447392497712718E-3</v>
      </c>
      <c r="V211" s="203" t="s">
        <v>83</v>
      </c>
      <c r="W211" s="354" t="s">
        <v>282</v>
      </c>
    </row>
    <row r="212" spans="1:23" x14ac:dyDescent="0.25">
      <c r="A212" s="96"/>
      <c r="B212" s="97"/>
      <c r="C212" s="97"/>
      <c r="D212" s="97"/>
      <c r="E212" s="104"/>
      <c r="F212" s="104"/>
      <c r="G212" s="109"/>
      <c r="H212" s="99">
        <v>5</v>
      </c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251"/>
      <c r="T212" s="247">
        <f t="shared" si="23"/>
        <v>5</v>
      </c>
      <c r="U212" s="183">
        <f t="shared" ref="U212:U218" si="24">($T212)/$D$179</f>
        <v>2.2872827081427266E-3</v>
      </c>
      <c r="V212" s="355" t="s">
        <v>11</v>
      </c>
      <c r="W212" s="354" t="s">
        <v>283</v>
      </c>
    </row>
    <row r="213" spans="1:23" ht="15.75" x14ac:dyDescent="0.25">
      <c r="A213" s="96"/>
      <c r="B213" s="97"/>
      <c r="C213" s="97"/>
      <c r="D213" s="97"/>
      <c r="E213" s="104"/>
      <c r="F213" s="104"/>
      <c r="G213" s="109"/>
      <c r="H213" s="99">
        <v>1</v>
      </c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251"/>
      <c r="T213" s="247">
        <f t="shared" si="23"/>
        <v>1</v>
      </c>
      <c r="U213" s="183">
        <f t="shared" si="24"/>
        <v>4.5745654162854531E-4</v>
      </c>
      <c r="V213" s="203" t="s">
        <v>71</v>
      </c>
      <c r="W213" s="354" t="s">
        <v>284</v>
      </c>
    </row>
    <row r="214" spans="1:23" ht="15.75" x14ac:dyDescent="0.25">
      <c r="A214" s="96"/>
      <c r="B214" s="97"/>
      <c r="C214" s="97"/>
      <c r="D214" s="97"/>
      <c r="E214" s="104"/>
      <c r="F214" s="104"/>
      <c r="G214" s="109"/>
      <c r="H214" s="99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251"/>
      <c r="T214" s="247">
        <f t="shared" si="23"/>
        <v>0</v>
      </c>
      <c r="U214" s="183">
        <f t="shared" si="24"/>
        <v>0</v>
      </c>
      <c r="V214" s="204" t="s">
        <v>85</v>
      </c>
      <c r="W214" s="326" t="s">
        <v>285</v>
      </c>
    </row>
    <row r="215" spans="1:23" ht="15.75" x14ac:dyDescent="0.25">
      <c r="A215" s="96"/>
      <c r="B215" s="97"/>
      <c r="C215" s="97"/>
      <c r="D215" s="97"/>
      <c r="E215" s="104"/>
      <c r="F215" s="104"/>
      <c r="G215" s="109"/>
      <c r="H215" s="99">
        <v>5</v>
      </c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251"/>
      <c r="T215" s="247">
        <f t="shared" si="23"/>
        <v>5</v>
      </c>
      <c r="U215" s="183">
        <f t="shared" si="24"/>
        <v>2.2872827081427266E-3</v>
      </c>
      <c r="V215" s="204" t="s">
        <v>26</v>
      </c>
      <c r="W215" s="326"/>
    </row>
    <row r="216" spans="1:23" ht="15.75" x14ac:dyDescent="0.25">
      <c r="A216" s="96"/>
      <c r="B216" s="97"/>
      <c r="C216" s="97"/>
      <c r="D216" s="97"/>
      <c r="E216" s="104"/>
      <c r="F216" s="104"/>
      <c r="G216" s="109"/>
      <c r="H216" s="107" t="s">
        <v>100</v>
      </c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254"/>
      <c r="T216" s="247">
        <f t="shared" si="23"/>
        <v>0</v>
      </c>
      <c r="U216" s="183">
        <f t="shared" si="24"/>
        <v>0</v>
      </c>
      <c r="V216" s="207" t="s">
        <v>35</v>
      </c>
      <c r="W216" s="356"/>
    </row>
    <row r="217" spans="1:23" ht="15.75" x14ac:dyDescent="0.25">
      <c r="A217" s="96"/>
      <c r="B217" s="97"/>
      <c r="C217" s="97"/>
      <c r="D217" s="97"/>
      <c r="E217" s="104"/>
      <c r="F217" s="104"/>
      <c r="G217" s="109"/>
      <c r="H217" s="107">
        <v>3</v>
      </c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254"/>
      <c r="T217" s="454">
        <f t="shared" si="23"/>
        <v>3</v>
      </c>
      <c r="U217" s="183">
        <f t="shared" si="24"/>
        <v>1.3723696248856359E-3</v>
      </c>
      <c r="V217" s="207" t="s">
        <v>286</v>
      </c>
      <c r="W217" s="429"/>
    </row>
    <row r="218" spans="1:23" ht="15.75" x14ac:dyDescent="0.25">
      <c r="A218" s="96"/>
      <c r="B218" s="97"/>
      <c r="C218" s="97"/>
      <c r="D218" s="97"/>
      <c r="E218" s="104"/>
      <c r="F218" s="104"/>
      <c r="G218" s="109"/>
      <c r="H218" s="107">
        <v>3</v>
      </c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254"/>
      <c r="T218" s="454">
        <f t="shared" si="23"/>
        <v>3</v>
      </c>
      <c r="U218" s="183">
        <f t="shared" si="24"/>
        <v>1.3723696248856359E-3</v>
      </c>
      <c r="V218" s="203" t="s">
        <v>12</v>
      </c>
      <c r="W218" s="326"/>
    </row>
    <row r="219" spans="1:23" ht="16.5" thickBot="1" x14ac:dyDescent="0.3">
      <c r="A219" s="117"/>
      <c r="B219" s="118"/>
      <c r="C219" s="118"/>
      <c r="D219" s="118"/>
      <c r="E219" s="119"/>
      <c r="F219" s="119"/>
      <c r="G219" s="120"/>
      <c r="H219" s="107">
        <v>27</v>
      </c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254"/>
      <c r="T219" s="454">
        <f t="shared" si="23"/>
        <v>27</v>
      </c>
      <c r="U219" s="299">
        <f>($T219)/$D$179</f>
        <v>1.2351326623970723E-2</v>
      </c>
      <c r="V219" s="205" t="s">
        <v>148</v>
      </c>
      <c r="W219" s="352"/>
    </row>
    <row r="220" spans="1:23" ht="15.75" thickBot="1" x14ac:dyDescent="0.3">
      <c r="A220" s="122"/>
      <c r="B220" s="122"/>
      <c r="C220" s="122"/>
      <c r="D220" s="122"/>
      <c r="E220" s="122"/>
      <c r="F220" s="122"/>
      <c r="G220" s="47" t="s">
        <v>4</v>
      </c>
      <c r="H220" s="123">
        <f t="shared" ref="H220:S220" si="25">SUM(H180:H219)</f>
        <v>266</v>
      </c>
      <c r="I220" s="123">
        <f t="shared" si="25"/>
        <v>95</v>
      </c>
      <c r="J220" s="123">
        <f t="shared" si="25"/>
        <v>18</v>
      </c>
      <c r="K220" s="123">
        <f t="shared" si="25"/>
        <v>0</v>
      </c>
      <c r="L220" s="123">
        <f t="shared" si="25"/>
        <v>0</v>
      </c>
      <c r="M220" s="123">
        <f t="shared" si="25"/>
        <v>0</v>
      </c>
      <c r="N220" s="123">
        <f t="shared" si="25"/>
        <v>0</v>
      </c>
      <c r="O220" s="123">
        <f t="shared" si="25"/>
        <v>0</v>
      </c>
      <c r="P220" s="123">
        <f t="shared" si="25"/>
        <v>0</v>
      </c>
      <c r="Q220" s="123">
        <f t="shared" si="25"/>
        <v>0</v>
      </c>
      <c r="R220" s="123">
        <f t="shared" si="25"/>
        <v>9</v>
      </c>
      <c r="S220" s="123">
        <f t="shared" si="25"/>
        <v>33</v>
      </c>
      <c r="T220" s="198">
        <f>SUM(H220,J220,L220,N220,P220,R220,S220)</f>
        <v>326</v>
      </c>
      <c r="U220" s="333">
        <f>($T220)/$D$179</f>
        <v>0.14913083257090576</v>
      </c>
      <c r="V220" s="40"/>
    </row>
    <row r="222" spans="1:23" ht="15.75" thickBot="1" x14ac:dyDescent="0.3"/>
    <row r="223" spans="1:23" ht="75.75" thickBot="1" x14ac:dyDescent="0.3">
      <c r="A223" s="42" t="s">
        <v>22</v>
      </c>
      <c r="B223" s="42" t="s">
        <v>47</v>
      </c>
      <c r="C223" s="43" t="s">
        <v>52</v>
      </c>
      <c r="D223" s="43" t="s">
        <v>17</v>
      </c>
      <c r="E223" s="42" t="s">
        <v>16</v>
      </c>
      <c r="F223" s="44" t="s">
        <v>1</v>
      </c>
      <c r="G223" s="45" t="s">
        <v>23</v>
      </c>
      <c r="H223" s="46" t="s">
        <v>72</v>
      </c>
      <c r="I223" s="46" t="s">
        <v>73</v>
      </c>
      <c r="J223" s="46" t="s">
        <v>53</v>
      </c>
      <c r="K223" s="46" t="s">
        <v>58</v>
      </c>
      <c r="L223" s="46" t="s">
        <v>54</v>
      </c>
      <c r="M223" s="46" t="s">
        <v>59</v>
      </c>
      <c r="N223" s="46" t="s">
        <v>55</v>
      </c>
      <c r="O223" s="46" t="s">
        <v>60</v>
      </c>
      <c r="P223" s="46" t="s">
        <v>56</v>
      </c>
      <c r="Q223" s="46" t="s">
        <v>74</v>
      </c>
      <c r="R223" s="46" t="s">
        <v>115</v>
      </c>
      <c r="S223" s="46" t="s">
        <v>41</v>
      </c>
      <c r="T223" s="46" t="s">
        <v>4</v>
      </c>
      <c r="U223" s="42" t="s">
        <v>2</v>
      </c>
      <c r="V223" s="80" t="s">
        <v>20</v>
      </c>
      <c r="W223" s="81" t="s">
        <v>6</v>
      </c>
    </row>
    <row r="224" spans="1:23" ht="15.75" thickBot="1" x14ac:dyDescent="0.3">
      <c r="A224" s="316">
        <v>1512004</v>
      </c>
      <c r="B224" s="209" t="s">
        <v>110</v>
      </c>
      <c r="C224" s="316">
        <v>1920</v>
      </c>
      <c r="D224" s="316">
        <v>2170</v>
      </c>
      <c r="E224" s="321">
        <v>1854</v>
      </c>
      <c r="F224" s="322">
        <f>E224/D224</f>
        <v>0.85437788018433181</v>
      </c>
      <c r="G224" s="48">
        <v>45320</v>
      </c>
      <c r="H224" s="82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4"/>
      <c r="T224" s="296"/>
      <c r="U224" s="115"/>
      <c r="V224" s="86" t="s">
        <v>75</v>
      </c>
      <c r="W224" s="353" t="s">
        <v>70</v>
      </c>
    </row>
    <row r="225" spans="1:23" ht="15.75" x14ac:dyDescent="0.25">
      <c r="A225" s="87"/>
      <c r="B225" s="88"/>
      <c r="C225" s="88"/>
      <c r="D225" s="88"/>
      <c r="E225" s="88"/>
      <c r="F225" s="88"/>
      <c r="G225" s="89"/>
      <c r="H225" s="90">
        <v>14</v>
      </c>
      <c r="I225" s="91"/>
      <c r="J225" s="91">
        <v>1</v>
      </c>
      <c r="K225" s="91"/>
      <c r="L225" s="91"/>
      <c r="M225" s="91"/>
      <c r="N225" s="91"/>
      <c r="O225" s="91"/>
      <c r="P225" s="91"/>
      <c r="Q225" s="91"/>
      <c r="R225" s="91"/>
      <c r="S225" s="250">
        <v>10</v>
      </c>
      <c r="T225" s="249">
        <f>SUM(H225,J225,L225,N225,P225,R225,S225)</f>
        <v>25</v>
      </c>
      <c r="U225" s="349">
        <f>($T225)/$D$224</f>
        <v>1.1520737327188941E-2</v>
      </c>
      <c r="V225" s="202" t="s">
        <v>15</v>
      </c>
      <c r="W225" s="210" t="s">
        <v>120</v>
      </c>
    </row>
    <row r="226" spans="1:23" ht="15.75" x14ac:dyDescent="0.25">
      <c r="A226" s="96"/>
      <c r="B226" s="97"/>
      <c r="C226" s="97"/>
      <c r="D226" s="97"/>
      <c r="E226" s="97"/>
      <c r="F226" s="97"/>
      <c r="G226" s="98"/>
      <c r="H226" s="348">
        <v>2</v>
      </c>
      <c r="I226" s="111"/>
      <c r="J226" s="111">
        <v>2</v>
      </c>
      <c r="K226" s="111"/>
      <c r="L226" s="111"/>
      <c r="M226" s="111"/>
      <c r="N226" s="111"/>
      <c r="O226" s="111"/>
      <c r="P226" s="111"/>
      <c r="Q226" s="111"/>
      <c r="R226" s="111"/>
      <c r="S226" s="253"/>
      <c r="T226" s="249">
        <f>SUM(H226,J226,L226,N226,P226,R226,S226)</f>
        <v>4</v>
      </c>
      <c r="U226" s="299">
        <f>($T226)/$D$224</f>
        <v>1.8433179723502304E-3</v>
      </c>
      <c r="V226" s="206" t="s">
        <v>43</v>
      </c>
      <c r="W226" s="210" t="s">
        <v>154</v>
      </c>
    </row>
    <row r="227" spans="1:23" ht="15.75" x14ac:dyDescent="0.25">
      <c r="A227" s="96"/>
      <c r="B227" s="97"/>
      <c r="C227" s="97"/>
      <c r="D227" s="97"/>
      <c r="E227" s="97"/>
      <c r="F227" s="97"/>
      <c r="G227" s="98"/>
      <c r="H227" s="99">
        <v>21</v>
      </c>
      <c r="I227" s="63"/>
      <c r="J227" s="63">
        <v>2</v>
      </c>
      <c r="K227" s="63"/>
      <c r="L227" s="63"/>
      <c r="M227" s="63"/>
      <c r="N227" s="63"/>
      <c r="O227" s="63"/>
      <c r="P227" s="63"/>
      <c r="Q227" s="63"/>
      <c r="R227" s="63"/>
      <c r="S227" s="251">
        <v>2</v>
      </c>
      <c r="T227" s="247">
        <f t="shared" ref="T227:T253" si="26">SUM(H227,J227,L227,N227,P227,R227,S227)</f>
        <v>25</v>
      </c>
      <c r="U227" s="299">
        <f t="shared" ref="U227:U239" si="27">($T227)/$D$224</f>
        <v>1.1520737327188941E-2</v>
      </c>
      <c r="V227" s="203" t="s">
        <v>5</v>
      </c>
      <c r="W227" s="351"/>
    </row>
    <row r="228" spans="1:23" ht="15.75" x14ac:dyDescent="0.25">
      <c r="A228" s="96"/>
      <c r="B228" s="97"/>
      <c r="C228" s="97"/>
      <c r="D228" s="97"/>
      <c r="E228" s="104"/>
      <c r="F228" s="104"/>
      <c r="G228" s="98"/>
      <c r="H228" s="99">
        <v>82</v>
      </c>
      <c r="I228" s="63"/>
      <c r="J228" s="63">
        <v>4</v>
      </c>
      <c r="K228" s="63"/>
      <c r="L228" s="63"/>
      <c r="M228" s="63"/>
      <c r="N228" s="63"/>
      <c r="O228" s="63"/>
      <c r="P228" s="63"/>
      <c r="Q228" s="63"/>
      <c r="R228" s="63"/>
      <c r="S228" s="251">
        <v>1</v>
      </c>
      <c r="T228" s="247">
        <f t="shared" si="26"/>
        <v>87</v>
      </c>
      <c r="U228" s="299">
        <f t="shared" si="27"/>
        <v>4.0092165898617513E-2</v>
      </c>
      <c r="V228" s="203" t="s">
        <v>13</v>
      </c>
      <c r="W228" s="244"/>
    </row>
    <row r="229" spans="1:23" ht="15.75" x14ac:dyDescent="0.25">
      <c r="A229" s="96"/>
      <c r="B229" s="97"/>
      <c r="C229" s="97"/>
      <c r="D229" s="97"/>
      <c r="E229" s="104"/>
      <c r="F229" s="104"/>
      <c r="G229" s="98"/>
      <c r="H229" s="99">
        <v>6</v>
      </c>
      <c r="I229" s="63"/>
      <c r="J229" s="63">
        <v>3</v>
      </c>
      <c r="K229" s="63"/>
      <c r="L229" s="63"/>
      <c r="M229" s="63"/>
      <c r="N229" s="63"/>
      <c r="O229" s="63"/>
      <c r="P229" s="63"/>
      <c r="Q229" s="63"/>
      <c r="R229" s="63"/>
      <c r="S229" s="251"/>
      <c r="T229" s="247">
        <f t="shared" si="26"/>
        <v>9</v>
      </c>
      <c r="U229" s="299">
        <f t="shared" si="27"/>
        <v>4.1474654377880189E-3</v>
      </c>
      <c r="V229" s="203" t="s">
        <v>14</v>
      </c>
      <c r="W229" s="311"/>
    </row>
    <row r="230" spans="1:23" ht="15.75" x14ac:dyDescent="0.25">
      <c r="A230" s="96"/>
      <c r="B230" s="97"/>
      <c r="C230" s="97"/>
      <c r="D230" s="97"/>
      <c r="E230" s="104"/>
      <c r="F230" s="104"/>
      <c r="G230" s="98"/>
      <c r="H230" s="99">
        <v>27</v>
      </c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251"/>
      <c r="T230" s="247">
        <f t="shared" si="26"/>
        <v>27</v>
      </c>
      <c r="U230" s="299">
        <f t="shared" si="27"/>
        <v>1.2442396313364055E-2</v>
      </c>
      <c r="V230" s="203" t="s">
        <v>30</v>
      </c>
      <c r="W230" s="311"/>
    </row>
    <row r="231" spans="1:23" ht="15.75" x14ac:dyDescent="0.25">
      <c r="A231" s="96"/>
      <c r="B231" s="97"/>
      <c r="C231" s="97"/>
      <c r="D231" s="97"/>
      <c r="E231" s="104"/>
      <c r="F231" s="104"/>
      <c r="G231" s="98"/>
      <c r="H231" s="99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251"/>
      <c r="T231" s="247">
        <f t="shared" si="26"/>
        <v>0</v>
      </c>
      <c r="U231" s="299">
        <f t="shared" si="27"/>
        <v>0</v>
      </c>
      <c r="V231" s="203" t="s">
        <v>31</v>
      </c>
      <c r="W231" s="105"/>
    </row>
    <row r="232" spans="1:23" ht="15.75" x14ac:dyDescent="0.25">
      <c r="A232" s="96"/>
      <c r="B232" s="97"/>
      <c r="C232" s="97"/>
      <c r="D232" s="97"/>
      <c r="E232" s="104"/>
      <c r="F232" s="104"/>
      <c r="G232" s="98"/>
      <c r="H232" s="99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251"/>
      <c r="T232" s="247">
        <f t="shared" si="26"/>
        <v>0</v>
      </c>
      <c r="U232" s="299">
        <f t="shared" si="27"/>
        <v>0</v>
      </c>
      <c r="V232" s="203" t="s">
        <v>168</v>
      </c>
      <c r="W232" s="323"/>
    </row>
    <row r="233" spans="1:23" ht="15.75" x14ac:dyDescent="0.25">
      <c r="A233" s="96"/>
      <c r="B233" s="97"/>
      <c r="C233" s="97"/>
      <c r="D233" s="97"/>
      <c r="E233" s="104"/>
      <c r="F233" s="104"/>
      <c r="G233" s="98"/>
      <c r="H233" s="99">
        <v>1</v>
      </c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251"/>
      <c r="T233" s="247">
        <f t="shared" si="26"/>
        <v>1</v>
      </c>
      <c r="U233" s="299">
        <f t="shared" si="27"/>
        <v>4.608294930875576E-4</v>
      </c>
      <c r="V233" s="204" t="s">
        <v>202</v>
      </c>
      <c r="W233" s="105"/>
    </row>
    <row r="234" spans="1:23" ht="15.75" x14ac:dyDescent="0.25">
      <c r="A234" s="96"/>
      <c r="B234" s="97"/>
      <c r="C234" s="97"/>
      <c r="D234" s="97"/>
      <c r="E234" s="104"/>
      <c r="F234" s="104"/>
      <c r="G234" s="98"/>
      <c r="H234" s="99">
        <v>1</v>
      </c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251">
        <v>3</v>
      </c>
      <c r="T234" s="247">
        <f t="shared" si="26"/>
        <v>4</v>
      </c>
      <c r="U234" s="299">
        <f t="shared" si="27"/>
        <v>1.8433179723502304E-3</v>
      </c>
      <c r="V234" s="203" t="s">
        <v>0</v>
      </c>
      <c r="W234" s="354"/>
    </row>
    <row r="235" spans="1:23" ht="15.75" x14ac:dyDescent="0.25">
      <c r="A235" s="96"/>
      <c r="B235" s="97"/>
      <c r="C235" s="97"/>
      <c r="D235" s="97"/>
      <c r="E235" s="104"/>
      <c r="F235" s="104"/>
      <c r="G235" s="98"/>
      <c r="H235" s="99">
        <v>32</v>
      </c>
      <c r="I235" s="63"/>
      <c r="J235" s="63">
        <v>3</v>
      </c>
      <c r="K235" s="63"/>
      <c r="L235" s="63"/>
      <c r="M235" s="63"/>
      <c r="N235" s="63"/>
      <c r="O235" s="63"/>
      <c r="P235" s="63"/>
      <c r="Q235" s="63"/>
      <c r="R235" s="63"/>
      <c r="S235" s="251">
        <v>12</v>
      </c>
      <c r="T235" s="247">
        <f t="shared" si="26"/>
        <v>47</v>
      </c>
      <c r="U235" s="299">
        <f t="shared" si="27"/>
        <v>2.1658986175115209E-2</v>
      </c>
      <c r="V235" s="203" t="s">
        <v>11</v>
      </c>
      <c r="W235" s="354"/>
    </row>
    <row r="236" spans="1:23" ht="15.75" x14ac:dyDescent="0.25">
      <c r="A236" s="96"/>
      <c r="B236" s="97"/>
      <c r="C236" s="97"/>
      <c r="D236" s="97"/>
      <c r="E236" s="104"/>
      <c r="F236" s="104" t="s">
        <v>100</v>
      </c>
      <c r="G236" s="98"/>
      <c r="H236" s="99">
        <v>15</v>
      </c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251"/>
      <c r="T236" s="247">
        <f t="shared" si="26"/>
        <v>15</v>
      </c>
      <c r="U236" s="299">
        <f t="shared" si="27"/>
        <v>6.9124423963133645E-3</v>
      </c>
      <c r="V236" s="203" t="s">
        <v>33</v>
      </c>
      <c r="W236" s="326"/>
    </row>
    <row r="237" spans="1:23" ht="15.75" x14ac:dyDescent="0.25">
      <c r="A237" s="96"/>
      <c r="B237" s="97"/>
      <c r="C237" s="97"/>
      <c r="D237" s="97"/>
      <c r="E237" s="104"/>
      <c r="F237" s="104"/>
      <c r="G237" s="98"/>
      <c r="H237" s="99"/>
      <c r="I237" s="63"/>
      <c r="J237" s="63">
        <v>3</v>
      </c>
      <c r="K237" s="63"/>
      <c r="L237" s="63"/>
      <c r="M237" s="63"/>
      <c r="N237" s="63"/>
      <c r="O237" s="63"/>
      <c r="P237" s="63"/>
      <c r="Q237" s="63"/>
      <c r="R237" s="63"/>
      <c r="S237" s="251"/>
      <c r="T237" s="247">
        <f t="shared" si="26"/>
        <v>3</v>
      </c>
      <c r="U237" s="299">
        <f t="shared" si="27"/>
        <v>1.3824884792626728E-3</v>
      </c>
      <c r="V237" s="204" t="s">
        <v>27</v>
      </c>
      <c r="W237" s="354"/>
    </row>
    <row r="238" spans="1:23" ht="15.75" x14ac:dyDescent="0.25">
      <c r="A238" s="96"/>
      <c r="B238" s="97"/>
      <c r="C238" s="97"/>
      <c r="D238" s="97"/>
      <c r="E238" s="104"/>
      <c r="F238" s="104"/>
      <c r="G238" s="109"/>
      <c r="H238" s="110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251"/>
      <c r="T238" s="247">
        <f t="shared" si="26"/>
        <v>0</v>
      </c>
      <c r="U238" s="299">
        <f t="shared" si="27"/>
        <v>0</v>
      </c>
      <c r="V238" s="204" t="s">
        <v>26</v>
      </c>
      <c r="W238" s="212"/>
    </row>
    <row r="239" spans="1:23" ht="15.75" x14ac:dyDescent="0.25">
      <c r="A239" s="96"/>
      <c r="B239" s="97"/>
      <c r="C239" s="97"/>
      <c r="D239" s="97"/>
      <c r="E239" s="104"/>
      <c r="F239" s="104"/>
      <c r="G239" s="109"/>
      <c r="H239" s="110">
        <v>3</v>
      </c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251"/>
      <c r="T239" s="247">
        <f t="shared" si="26"/>
        <v>3</v>
      </c>
      <c r="U239" s="299">
        <f t="shared" si="27"/>
        <v>1.3824884792626728E-3</v>
      </c>
      <c r="V239" s="204" t="s">
        <v>148</v>
      </c>
      <c r="W239" s="103"/>
    </row>
    <row r="240" spans="1:23" ht="16.5" thickBot="1" x14ac:dyDescent="0.3">
      <c r="A240" s="96"/>
      <c r="B240" s="97"/>
      <c r="C240" s="97"/>
      <c r="D240" s="97"/>
      <c r="E240" s="104"/>
      <c r="F240" s="104"/>
      <c r="G240" s="109"/>
      <c r="H240" s="186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252">
        <v>1</v>
      </c>
      <c r="T240" s="248">
        <f t="shared" si="26"/>
        <v>1</v>
      </c>
      <c r="U240" s="245">
        <f>($T240)/$D$224</f>
        <v>4.608294930875576E-4</v>
      </c>
      <c r="V240" s="205" t="s">
        <v>71</v>
      </c>
      <c r="W240" s="212"/>
    </row>
    <row r="241" spans="1:23" ht="15.75" x14ac:dyDescent="0.25">
      <c r="A241" s="96"/>
      <c r="B241" s="97"/>
      <c r="C241" s="97"/>
      <c r="D241" s="97"/>
      <c r="E241" s="104"/>
      <c r="F241" s="104"/>
      <c r="G241" s="98"/>
      <c r="H241" s="90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253"/>
      <c r="T241" s="249">
        <f t="shared" si="26"/>
        <v>0</v>
      </c>
      <c r="U241" s="183">
        <f>($T241)/$D$224</f>
        <v>0</v>
      </c>
      <c r="V241" s="206" t="s">
        <v>10</v>
      </c>
      <c r="W241" s="106"/>
    </row>
    <row r="242" spans="1:23" ht="15.75" x14ac:dyDescent="0.25">
      <c r="A242" s="96"/>
      <c r="B242" s="97"/>
      <c r="C242" s="97"/>
      <c r="D242" s="97"/>
      <c r="E242" s="104"/>
      <c r="F242" s="104"/>
      <c r="G242" s="98"/>
      <c r="H242" s="99"/>
      <c r="I242" s="213">
        <v>1</v>
      </c>
      <c r="J242" s="63">
        <v>2</v>
      </c>
      <c r="K242" s="63"/>
      <c r="L242" s="63"/>
      <c r="M242" s="63"/>
      <c r="N242" s="63"/>
      <c r="O242" s="63"/>
      <c r="P242" s="63"/>
      <c r="Q242" s="63"/>
      <c r="R242" s="63"/>
      <c r="S242" s="251"/>
      <c r="T242" s="247">
        <f t="shared" si="26"/>
        <v>2</v>
      </c>
      <c r="U242" s="93">
        <f>($T242)/$D$224</f>
        <v>9.2165898617511521E-4</v>
      </c>
      <c r="V242" s="331" t="s">
        <v>94</v>
      </c>
      <c r="W242" s="106"/>
    </row>
    <row r="243" spans="1:23" ht="15.75" x14ac:dyDescent="0.25">
      <c r="A243" s="96"/>
      <c r="B243" s="97"/>
      <c r="C243" s="97"/>
      <c r="D243" s="97"/>
      <c r="E243" s="104"/>
      <c r="F243" s="104"/>
      <c r="G243" s="98"/>
      <c r="H243" s="99"/>
      <c r="I243" s="214">
        <v>6</v>
      </c>
      <c r="J243" s="63">
        <v>1</v>
      </c>
      <c r="K243" s="63"/>
      <c r="L243" s="63"/>
      <c r="M243" s="63"/>
      <c r="N243" s="63"/>
      <c r="O243" s="63"/>
      <c r="P243" s="63"/>
      <c r="Q243" s="63"/>
      <c r="R243" s="63"/>
      <c r="S243" s="251">
        <v>3</v>
      </c>
      <c r="T243" s="247">
        <f t="shared" si="26"/>
        <v>4</v>
      </c>
      <c r="U243" s="93">
        <f t="shared" ref="U243:U252" si="28">($T243)/$D$224</f>
        <v>1.8433179723502304E-3</v>
      </c>
      <c r="V243" s="203" t="s">
        <v>3</v>
      </c>
      <c r="W243" s="105"/>
    </row>
    <row r="244" spans="1:23" ht="15.75" x14ac:dyDescent="0.25">
      <c r="A244" s="96"/>
      <c r="B244" s="97"/>
      <c r="C244" s="97"/>
      <c r="D244" s="97"/>
      <c r="E244" s="97"/>
      <c r="F244" s="104"/>
      <c r="G244" s="98"/>
      <c r="H244" s="99"/>
      <c r="I244" s="214">
        <v>19</v>
      </c>
      <c r="J244" s="63">
        <v>10</v>
      </c>
      <c r="K244" s="63"/>
      <c r="L244" s="63"/>
      <c r="M244" s="63"/>
      <c r="N244" s="63"/>
      <c r="O244" s="63"/>
      <c r="P244" s="63"/>
      <c r="Q244" s="63"/>
      <c r="R244" s="63"/>
      <c r="S244" s="251"/>
      <c r="T244" s="247">
        <f t="shared" si="26"/>
        <v>10</v>
      </c>
      <c r="U244" s="93">
        <f t="shared" si="28"/>
        <v>4.608294930875576E-3</v>
      </c>
      <c r="V244" s="203" t="s">
        <v>7</v>
      </c>
      <c r="W244" s="106"/>
    </row>
    <row r="245" spans="1:23" ht="15.75" x14ac:dyDescent="0.25">
      <c r="A245" s="96"/>
      <c r="B245" s="97"/>
      <c r="C245" s="97"/>
      <c r="D245" s="97"/>
      <c r="E245" s="97"/>
      <c r="F245" s="104"/>
      <c r="G245" s="98"/>
      <c r="H245" s="99"/>
      <c r="I245" s="214">
        <v>2</v>
      </c>
      <c r="J245" s="63"/>
      <c r="K245" s="63"/>
      <c r="L245" s="63"/>
      <c r="M245" s="63"/>
      <c r="N245" s="63"/>
      <c r="O245" s="63"/>
      <c r="P245" s="63"/>
      <c r="Q245" s="63"/>
      <c r="R245" s="63"/>
      <c r="S245" s="251"/>
      <c r="T245" s="247">
        <f t="shared" si="26"/>
        <v>0</v>
      </c>
      <c r="U245" s="93">
        <f t="shared" si="28"/>
        <v>0</v>
      </c>
      <c r="V245" s="203" t="s">
        <v>8</v>
      </c>
      <c r="W245" s="354"/>
    </row>
    <row r="246" spans="1:23" ht="15.75" x14ac:dyDescent="0.25">
      <c r="A246" s="96"/>
      <c r="B246" s="97"/>
      <c r="C246" s="97"/>
      <c r="D246" s="97"/>
      <c r="E246" s="97"/>
      <c r="F246" s="104"/>
      <c r="G246" s="98"/>
      <c r="H246" s="99"/>
      <c r="I246" s="214"/>
      <c r="J246" s="63"/>
      <c r="K246" s="63"/>
      <c r="L246" s="63"/>
      <c r="M246" s="63"/>
      <c r="N246" s="63"/>
      <c r="O246" s="63"/>
      <c r="P246" s="63"/>
      <c r="Q246" s="63"/>
      <c r="R246" s="63"/>
      <c r="S246" s="251"/>
      <c r="T246" s="247">
        <f t="shared" si="26"/>
        <v>0</v>
      </c>
      <c r="U246" s="93">
        <f t="shared" si="28"/>
        <v>0</v>
      </c>
      <c r="V246" s="203" t="s">
        <v>77</v>
      </c>
      <c r="W246" s="354" t="s">
        <v>176</v>
      </c>
    </row>
    <row r="247" spans="1:23" ht="15.75" x14ac:dyDescent="0.25">
      <c r="A247" s="96"/>
      <c r="B247" s="97"/>
      <c r="C247" s="97"/>
      <c r="D247" s="97"/>
      <c r="E247" s="97"/>
      <c r="F247" s="104"/>
      <c r="G247" s="98"/>
      <c r="H247" s="99"/>
      <c r="I247" s="214">
        <v>6</v>
      </c>
      <c r="J247" s="63">
        <v>1</v>
      </c>
      <c r="K247" s="63"/>
      <c r="L247" s="63"/>
      <c r="M247" s="63"/>
      <c r="N247" s="63"/>
      <c r="O247" s="63"/>
      <c r="P247" s="63"/>
      <c r="Q247" s="63"/>
      <c r="R247" s="63"/>
      <c r="S247" s="251">
        <v>1</v>
      </c>
      <c r="T247" s="247">
        <f t="shared" si="26"/>
        <v>2</v>
      </c>
      <c r="U247" s="93">
        <f t="shared" si="28"/>
        <v>9.2165898617511521E-4</v>
      </c>
      <c r="V247" s="203" t="s">
        <v>19</v>
      </c>
      <c r="W247" s="354" t="s">
        <v>292</v>
      </c>
    </row>
    <row r="248" spans="1:23" ht="15.75" x14ac:dyDescent="0.25">
      <c r="A248" s="96"/>
      <c r="B248" s="97"/>
      <c r="C248" s="97"/>
      <c r="D248" s="97"/>
      <c r="E248" s="97"/>
      <c r="F248" s="104"/>
      <c r="G248" s="98"/>
      <c r="H248" s="99"/>
      <c r="I248" s="214"/>
      <c r="J248" s="63"/>
      <c r="K248" s="63"/>
      <c r="L248" s="63"/>
      <c r="M248" s="63"/>
      <c r="N248" s="63"/>
      <c r="O248" s="63"/>
      <c r="P248" s="63"/>
      <c r="Q248" s="63"/>
      <c r="R248" s="63"/>
      <c r="S248" s="251"/>
      <c r="T248" s="247">
        <f t="shared" si="26"/>
        <v>0</v>
      </c>
      <c r="U248" s="93">
        <f t="shared" si="28"/>
        <v>0</v>
      </c>
      <c r="V248" s="203" t="s">
        <v>78</v>
      </c>
      <c r="W248" s="354"/>
    </row>
    <row r="249" spans="1:23" ht="15.75" x14ac:dyDescent="0.25">
      <c r="A249" s="96"/>
      <c r="B249" s="97"/>
      <c r="C249" s="97"/>
      <c r="D249" s="97"/>
      <c r="E249" s="97"/>
      <c r="F249" s="104"/>
      <c r="G249" s="98"/>
      <c r="H249" s="99"/>
      <c r="I249" s="214"/>
      <c r="J249" s="63"/>
      <c r="K249" s="63"/>
      <c r="L249" s="63"/>
      <c r="M249" s="63"/>
      <c r="N249" s="63"/>
      <c r="O249" s="63"/>
      <c r="P249" s="63"/>
      <c r="Q249" s="63"/>
      <c r="R249" s="63"/>
      <c r="S249" s="251"/>
      <c r="T249" s="247">
        <f t="shared" si="26"/>
        <v>0</v>
      </c>
      <c r="U249" s="93">
        <f t="shared" si="28"/>
        <v>0</v>
      </c>
      <c r="V249" s="332" t="s">
        <v>170</v>
      </c>
      <c r="W249" s="354"/>
    </row>
    <row r="250" spans="1:23" ht="15.75" x14ac:dyDescent="0.25">
      <c r="A250" s="96"/>
      <c r="B250" s="97"/>
      <c r="C250" s="97"/>
      <c r="D250" s="97"/>
      <c r="E250" s="104"/>
      <c r="F250" s="104"/>
      <c r="G250" s="98"/>
      <c r="H250" s="99"/>
      <c r="I250" s="214">
        <v>7</v>
      </c>
      <c r="J250" s="63">
        <v>1</v>
      </c>
      <c r="K250" s="63"/>
      <c r="L250" s="63"/>
      <c r="M250" s="63"/>
      <c r="N250" s="63"/>
      <c r="O250" s="63"/>
      <c r="P250" s="63"/>
      <c r="Q250" s="63"/>
      <c r="R250" s="63"/>
      <c r="S250" s="251"/>
      <c r="T250" s="247">
        <f t="shared" si="26"/>
        <v>1</v>
      </c>
      <c r="U250" s="93">
        <f t="shared" si="28"/>
        <v>4.608294930875576E-4</v>
      </c>
      <c r="V250" s="203" t="s">
        <v>12</v>
      </c>
      <c r="W250" s="326"/>
    </row>
    <row r="251" spans="1:23" ht="15.75" x14ac:dyDescent="0.25">
      <c r="A251" s="96"/>
      <c r="B251" s="97"/>
      <c r="C251" s="97"/>
      <c r="D251" s="97"/>
      <c r="E251" s="104"/>
      <c r="F251" s="104"/>
      <c r="G251" s="98"/>
      <c r="H251" s="99"/>
      <c r="I251" s="63">
        <v>1</v>
      </c>
      <c r="J251" s="63"/>
      <c r="K251" s="63"/>
      <c r="L251" s="63"/>
      <c r="M251" s="63"/>
      <c r="N251" s="63"/>
      <c r="O251" s="63"/>
      <c r="P251" s="63"/>
      <c r="Q251" s="63"/>
      <c r="R251" s="63"/>
      <c r="S251" s="251"/>
      <c r="T251" s="247">
        <f t="shared" si="26"/>
        <v>0</v>
      </c>
      <c r="U251" s="93">
        <f t="shared" si="28"/>
        <v>0</v>
      </c>
      <c r="V251" s="204" t="s">
        <v>164</v>
      </c>
      <c r="W251" s="354"/>
    </row>
    <row r="252" spans="1:23" ht="15.75" x14ac:dyDescent="0.25">
      <c r="A252" s="96"/>
      <c r="B252" s="97"/>
      <c r="C252" s="97"/>
      <c r="D252" s="97"/>
      <c r="E252" s="104"/>
      <c r="F252" s="104"/>
      <c r="G252" s="98"/>
      <c r="H252" s="99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251"/>
      <c r="T252" s="247">
        <f t="shared" si="26"/>
        <v>0</v>
      </c>
      <c r="U252" s="93">
        <f t="shared" si="28"/>
        <v>0</v>
      </c>
      <c r="V252" s="204" t="s">
        <v>92</v>
      </c>
      <c r="W252" s="326"/>
    </row>
    <row r="253" spans="1:23" ht="16.5" thickBot="1" x14ac:dyDescent="0.3">
      <c r="A253" s="96"/>
      <c r="B253" s="97"/>
      <c r="C253" s="97"/>
      <c r="D253" s="97"/>
      <c r="E253" s="104"/>
      <c r="F253" s="104"/>
      <c r="G253" s="98"/>
      <c r="H253" s="107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254"/>
      <c r="T253" s="248">
        <f t="shared" si="26"/>
        <v>0</v>
      </c>
      <c r="U253" s="299">
        <f>($T253)/$D$224</f>
        <v>0</v>
      </c>
      <c r="V253" s="357" t="s">
        <v>94</v>
      </c>
      <c r="W253" s="326"/>
    </row>
    <row r="254" spans="1:23" ht="16.5" thickBot="1" x14ac:dyDescent="0.3">
      <c r="A254" s="96"/>
      <c r="B254" s="97"/>
      <c r="C254" s="97"/>
      <c r="D254" s="97"/>
      <c r="E254" s="104"/>
      <c r="F254" s="104"/>
      <c r="G254" s="98"/>
      <c r="H254" s="430"/>
      <c r="I254" s="431"/>
      <c r="J254" s="432"/>
      <c r="K254" s="431"/>
      <c r="L254" s="431"/>
      <c r="M254" s="431"/>
      <c r="N254" s="431"/>
      <c r="O254" s="431"/>
      <c r="P254" s="431"/>
      <c r="Q254" s="431"/>
      <c r="R254" s="431"/>
      <c r="S254" s="431"/>
      <c r="T254" s="433"/>
      <c r="U254" s="433"/>
      <c r="V254" s="441" t="s">
        <v>267</v>
      </c>
      <c r="W254" s="354" t="s">
        <v>259</v>
      </c>
    </row>
    <row r="255" spans="1:23" ht="15.75" x14ac:dyDescent="0.25">
      <c r="A255" s="96"/>
      <c r="B255" s="97"/>
      <c r="C255" s="97"/>
      <c r="D255" s="97"/>
      <c r="E255" s="104"/>
      <c r="F255" s="104"/>
      <c r="G255" s="109"/>
      <c r="H255" s="90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250"/>
      <c r="T255" s="249">
        <f t="shared" ref="T255:T264" si="29">SUM(H255,J255,L255,N255,P255,R255,S255)</f>
        <v>0</v>
      </c>
      <c r="U255" s="183">
        <f>($T255)/$D$224</f>
        <v>0</v>
      </c>
      <c r="V255" s="202" t="s">
        <v>89</v>
      </c>
      <c r="W255" s="354" t="s">
        <v>206</v>
      </c>
    </row>
    <row r="256" spans="1:23" ht="15.75" x14ac:dyDescent="0.25">
      <c r="A256" s="96"/>
      <c r="B256" s="97"/>
      <c r="C256" s="97"/>
      <c r="D256" s="97"/>
      <c r="E256" s="104"/>
      <c r="F256" s="104"/>
      <c r="G256" s="109"/>
      <c r="H256" s="99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251"/>
      <c r="T256" s="247">
        <f t="shared" si="29"/>
        <v>0</v>
      </c>
      <c r="U256" s="183">
        <f>($T256)/$D$224</f>
        <v>0</v>
      </c>
      <c r="V256" s="203" t="s">
        <v>83</v>
      </c>
      <c r="W256" s="354" t="s">
        <v>290</v>
      </c>
    </row>
    <row r="257" spans="1:23" x14ac:dyDescent="0.25">
      <c r="A257" s="96"/>
      <c r="B257" s="97"/>
      <c r="C257" s="97"/>
      <c r="D257" s="97"/>
      <c r="E257" s="104"/>
      <c r="F257" s="104"/>
      <c r="G257" s="109"/>
      <c r="H257" s="99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251"/>
      <c r="T257" s="247">
        <f t="shared" si="29"/>
        <v>0</v>
      </c>
      <c r="U257" s="183">
        <f t="shared" ref="U257:U263" si="30">($T257)/$D$224</f>
        <v>0</v>
      </c>
      <c r="V257" s="355" t="s">
        <v>11</v>
      </c>
      <c r="W257" s="326" t="s">
        <v>289</v>
      </c>
    </row>
    <row r="258" spans="1:23" ht="15.75" x14ac:dyDescent="0.25">
      <c r="A258" s="96"/>
      <c r="B258" s="97"/>
      <c r="C258" s="97"/>
      <c r="D258" s="97"/>
      <c r="E258" s="104"/>
      <c r="F258" s="104"/>
      <c r="G258" s="109"/>
      <c r="H258" s="99">
        <v>1</v>
      </c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251"/>
      <c r="T258" s="247">
        <f t="shared" si="29"/>
        <v>1</v>
      </c>
      <c r="U258" s="183">
        <f t="shared" si="30"/>
        <v>4.608294930875576E-4</v>
      </c>
      <c r="V258" s="203" t="s">
        <v>71</v>
      </c>
      <c r="W258" s="326" t="s">
        <v>291</v>
      </c>
    </row>
    <row r="259" spans="1:23" ht="15.75" x14ac:dyDescent="0.25">
      <c r="A259" s="96"/>
      <c r="B259" s="97"/>
      <c r="C259" s="97"/>
      <c r="D259" s="97"/>
      <c r="E259" s="104"/>
      <c r="F259" s="104"/>
      <c r="G259" s="109"/>
      <c r="H259" s="99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251"/>
      <c r="T259" s="247">
        <f t="shared" si="29"/>
        <v>0</v>
      </c>
      <c r="U259" s="183">
        <f t="shared" si="30"/>
        <v>0</v>
      </c>
      <c r="V259" s="204" t="s">
        <v>85</v>
      </c>
      <c r="W259" s="326"/>
    </row>
    <row r="260" spans="1:23" ht="15.75" x14ac:dyDescent="0.25">
      <c r="A260" s="96"/>
      <c r="B260" s="97"/>
      <c r="C260" s="97"/>
      <c r="D260" s="97"/>
      <c r="E260" s="104"/>
      <c r="F260" s="104"/>
      <c r="G260" s="109"/>
      <c r="H260" s="99">
        <v>9</v>
      </c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251"/>
      <c r="T260" s="247">
        <f t="shared" si="29"/>
        <v>9</v>
      </c>
      <c r="U260" s="183">
        <f t="shared" si="30"/>
        <v>4.1474654377880189E-3</v>
      </c>
      <c r="V260" s="204" t="s">
        <v>26</v>
      </c>
      <c r="W260" s="326"/>
    </row>
    <row r="261" spans="1:23" ht="15.75" x14ac:dyDescent="0.25">
      <c r="A261" s="96"/>
      <c r="B261" s="97"/>
      <c r="C261" s="97"/>
      <c r="D261" s="97"/>
      <c r="E261" s="104"/>
      <c r="F261" s="104"/>
      <c r="G261" s="109"/>
      <c r="H261" s="107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254"/>
      <c r="T261" s="247">
        <f t="shared" si="29"/>
        <v>0</v>
      </c>
      <c r="U261" s="183">
        <f t="shared" si="30"/>
        <v>0</v>
      </c>
      <c r="V261" s="207" t="s">
        <v>35</v>
      </c>
      <c r="W261" s="356"/>
    </row>
    <row r="262" spans="1:23" ht="15.75" x14ac:dyDescent="0.25">
      <c r="A262" s="96"/>
      <c r="B262" s="97"/>
      <c r="C262" s="97"/>
      <c r="D262" s="97"/>
      <c r="E262" s="104"/>
      <c r="F262" s="104"/>
      <c r="G262" s="109"/>
      <c r="H262" s="107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254"/>
      <c r="T262" s="247">
        <f t="shared" si="29"/>
        <v>0</v>
      </c>
      <c r="U262" s="183">
        <f t="shared" si="30"/>
        <v>0</v>
      </c>
      <c r="V262" s="207" t="s">
        <v>286</v>
      </c>
      <c r="W262" s="429"/>
    </row>
    <row r="263" spans="1:23" ht="15.75" x14ac:dyDescent="0.25">
      <c r="A263" s="96"/>
      <c r="B263" s="97"/>
      <c r="C263" s="97"/>
      <c r="D263" s="97"/>
      <c r="E263" s="104"/>
      <c r="F263" s="104"/>
      <c r="G263" s="109"/>
      <c r="H263" s="107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254"/>
      <c r="T263" s="247">
        <f t="shared" si="29"/>
        <v>0</v>
      </c>
      <c r="U263" s="183">
        <f t="shared" si="30"/>
        <v>0</v>
      </c>
      <c r="V263" s="203" t="s">
        <v>12</v>
      </c>
      <c r="W263" s="326"/>
    </row>
    <row r="264" spans="1:23" ht="16.5" thickBot="1" x14ac:dyDescent="0.3">
      <c r="A264" s="117"/>
      <c r="B264" s="118"/>
      <c r="C264" s="118"/>
      <c r="D264" s="118"/>
      <c r="E264" s="119"/>
      <c r="F264" s="119"/>
      <c r="G264" s="120"/>
      <c r="H264" s="107">
        <v>36</v>
      </c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254"/>
      <c r="T264" s="247">
        <f t="shared" si="29"/>
        <v>36</v>
      </c>
      <c r="U264" s="299">
        <f>($T264)/$D$224</f>
        <v>1.6589861751152075E-2</v>
      </c>
      <c r="V264" s="205" t="s">
        <v>148</v>
      </c>
      <c r="W264" s="352"/>
    </row>
    <row r="265" spans="1:23" ht="15.75" thickBot="1" x14ac:dyDescent="0.3">
      <c r="A265" s="122"/>
      <c r="B265" s="122"/>
      <c r="C265" s="122"/>
      <c r="D265" s="122"/>
      <c r="E265" s="122"/>
      <c r="F265" s="122"/>
      <c r="G265" s="47" t="s">
        <v>4</v>
      </c>
      <c r="H265" s="123">
        <f t="shared" ref="H265:S265" si="31">SUM(H225:H264)</f>
        <v>250</v>
      </c>
      <c r="I265" s="123">
        <f t="shared" si="31"/>
        <v>42</v>
      </c>
      <c r="J265" s="123">
        <f t="shared" si="31"/>
        <v>33</v>
      </c>
      <c r="K265" s="123">
        <f t="shared" si="31"/>
        <v>0</v>
      </c>
      <c r="L265" s="123">
        <f t="shared" si="31"/>
        <v>0</v>
      </c>
      <c r="M265" s="123">
        <f t="shared" si="31"/>
        <v>0</v>
      </c>
      <c r="N265" s="123">
        <f t="shared" si="31"/>
        <v>0</v>
      </c>
      <c r="O265" s="123">
        <f t="shared" si="31"/>
        <v>0</v>
      </c>
      <c r="P265" s="123">
        <f t="shared" si="31"/>
        <v>0</v>
      </c>
      <c r="Q265" s="123">
        <f t="shared" si="31"/>
        <v>0</v>
      </c>
      <c r="R265" s="123">
        <f t="shared" si="31"/>
        <v>0</v>
      </c>
      <c r="S265" s="123">
        <f t="shared" si="31"/>
        <v>33</v>
      </c>
      <c r="T265" s="198">
        <f>SUM(H265,J265,L265,N265,P265,R265,S265)</f>
        <v>316</v>
      </c>
      <c r="U265" s="333">
        <f>($T265)/$D$224</f>
        <v>0.14562211981566819</v>
      </c>
      <c r="V265" s="40"/>
    </row>
    <row r="267" spans="1:23" ht="15.75" thickBot="1" x14ac:dyDescent="0.3"/>
    <row r="268" spans="1:23" ht="75.75" thickBot="1" x14ac:dyDescent="0.3">
      <c r="A268" s="42" t="s">
        <v>22</v>
      </c>
      <c r="B268" s="42" t="s">
        <v>47</v>
      </c>
      <c r="C268" s="43" t="s">
        <v>52</v>
      </c>
      <c r="D268" s="43" t="s">
        <v>17</v>
      </c>
      <c r="E268" s="42" t="s">
        <v>16</v>
      </c>
      <c r="F268" s="44" t="s">
        <v>1</v>
      </c>
      <c r="G268" s="45" t="s">
        <v>23</v>
      </c>
      <c r="H268" s="46" t="s">
        <v>72</v>
      </c>
      <c r="I268" s="46" t="s">
        <v>73</v>
      </c>
      <c r="J268" s="46" t="s">
        <v>53</v>
      </c>
      <c r="K268" s="46" t="s">
        <v>58</v>
      </c>
      <c r="L268" s="46" t="s">
        <v>54</v>
      </c>
      <c r="M268" s="46" t="s">
        <v>59</v>
      </c>
      <c r="N268" s="46" t="s">
        <v>55</v>
      </c>
      <c r="O268" s="46" t="s">
        <v>60</v>
      </c>
      <c r="P268" s="46" t="s">
        <v>56</v>
      </c>
      <c r="Q268" s="46" t="s">
        <v>74</v>
      </c>
      <c r="R268" s="46" t="s">
        <v>115</v>
      </c>
      <c r="S268" s="46" t="s">
        <v>41</v>
      </c>
      <c r="T268" s="46" t="s">
        <v>4</v>
      </c>
      <c r="U268" s="42" t="s">
        <v>2</v>
      </c>
      <c r="V268" s="80" t="s">
        <v>20</v>
      </c>
      <c r="W268" s="81" t="s">
        <v>6</v>
      </c>
    </row>
    <row r="269" spans="1:23" ht="15.75" thickBot="1" x14ac:dyDescent="0.3">
      <c r="A269" s="316">
        <v>1514313</v>
      </c>
      <c r="B269" s="209" t="s">
        <v>110</v>
      </c>
      <c r="C269" s="316">
        <v>1920</v>
      </c>
      <c r="D269" s="316">
        <v>2105</v>
      </c>
      <c r="E269" s="321">
        <v>1853</v>
      </c>
      <c r="F269" s="322">
        <f>E269/D269</f>
        <v>0.8802850356294537</v>
      </c>
      <c r="G269" s="48">
        <v>45324</v>
      </c>
      <c r="H269" s="82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4"/>
      <c r="T269" s="296"/>
      <c r="U269" s="115"/>
      <c r="V269" s="86" t="s">
        <v>75</v>
      </c>
      <c r="W269" s="353" t="s">
        <v>191</v>
      </c>
    </row>
    <row r="270" spans="1:23" ht="15.75" x14ac:dyDescent="0.25">
      <c r="A270" s="87"/>
      <c r="B270" s="88"/>
      <c r="C270" s="88"/>
      <c r="D270" s="88"/>
      <c r="E270" s="88"/>
      <c r="F270" s="88"/>
      <c r="G270" s="89"/>
      <c r="H270" s="90">
        <v>14</v>
      </c>
      <c r="I270" s="91"/>
      <c r="J270" s="91">
        <v>1</v>
      </c>
      <c r="K270" s="91"/>
      <c r="L270" s="91"/>
      <c r="M270" s="91"/>
      <c r="N270" s="91"/>
      <c r="O270" s="91"/>
      <c r="P270" s="91"/>
      <c r="Q270" s="91"/>
      <c r="R270" s="91"/>
      <c r="S270" s="250">
        <v>6</v>
      </c>
      <c r="T270" s="249">
        <f>SUM(H270,J270,L270,N270,P270,R270,S270)</f>
        <v>21</v>
      </c>
      <c r="U270" s="349">
        <f>($T270)/$D$269</f>
        <v>9.9762470308788591E-3</v>
      </c>
      <c r="V270" s="202" t="s">
        <v>15</v>
      </c>
      <c r="W270" s="210" t="s">
        <v>120</v>
      </c>
    </row>
    <row r="271" spans="1:23" ht="15.75" x14ac:dyDescent="0.25">
      <c r="A271" s="96"/>
      <c r="B271" s="97"/>
      <c r="C271" s="97"/>
      <c r="D271" s="97"/>
      <c r="E271" s="97"/>
      <c r="F271" s="97"/>
      <c r="G271" s="98"/>
      <c r="H271" s="348"/>
      <c r="I271" s="111"/>
      <c r="J271" s="111"/>
      <c r="K271" s="111"/>
      <c r="L271" s="111"/>
      <c r="M271" s="111"/>
      <c r="N271" s="111"/>
      <c r="O271" s="111"/>
      <c r="P271" s="111"/>
      <c r="Q271" s="111"/>
      <c r="R271" s="111"/>
      <c r="S271" s="253"/>
      <c r="T271" s="249">
        <f>SUM(H271,J271,L271,N271,P271,R271,S271)</f>
        <v>0</v>
      </c>
      <c r="U271" s="299">
        <f>($T271)/$D$269</f>
        <v>0</v>
      </c>
      <c r="V271" s="206" t="s">
        <v>43</v>
      </c>
      <c r="W271" s="210" t="s">
        <v>154</v>
      </c>
    </row>
    <row r="272" spans="1:23" ht="15.75" x14ac:dyDescent="0.25">
      <c r="A272" s="96"/>
      <c r="B272" s="97"/>
      <c r="C272" s="97"/>
      <c r="D272" s="97"/>
      <c r="E272" s="97"/>
      <c r="F272" s="97"/>
      <c r="G272" s="98"/>
      <c r="H272" s="99">
        <v>36</v>
      </c>
      <c r="I272" s="63"/>
      <c r="J272" s="63">
        <v>2</v>
      </c>
      <c r="K272" s="63"/>
      <c r="L272" s="63"/>
      <c r="M272" s="63"/>
      <c r="N272" s="63"/>
      <c r="O272" s="63"/>
      <c r="P272" s="63"/>
      <c r="Q272" s="63"/>
      <c r="R272" s="63"/>
      <c r="S272" s="251">
        <v>2</v>
      </c>
      <c r="T272" s="247">
        <f t="shared" ref="T272:T298" si="32">SUM(H272,J272,L272,N272,P272,R272,S272)</f>
        <v>40</v>
      </c>
      <c r="U272" s="299">
        <f t="shared" ref="U272:U284" si="33">($T272)/$D$269</f>
        <v>1.9002375296912115E-2</v>
      </c>
      <c r="V272" s="203" t="s">
        <v>5</v>
      </c>
      <c r="W272" s="351"/>
    </row>
    <row r="273" spans="1:23" ht="15.75" x14ac:dyDescent="0.25">
      <c r="A273" s="96"/>
      <c r="B273" s="97"/>
      <c r="C273" s="97"/>
      <c r="D273" s="97"/>
      <c r="E273" s="104"/>
      <c r="F273" s="104"/>
      <c r="G273" s="98"/>
      <c r="H273" s="99">
        <v>45</v>
      </c>
      <c r="I273" s="63"/>
      <c r="J273" s="63">
        <v>5</v>
      </c>
      <c r="K273" s="63"/>
      <c r="L273" s="63"/>
      <c r="M273" s="63"/>
      <c r="N273" s="63"/>
      <c r="O273" s="63"/>
      <c r="P273" s="63"/>
      <c r="Q273" s="63"/>
      <c r="R273" s="63"/>
      <c r="S273" s="251">
        <v>4</v>
      </c>
      <c r="T273" s="247">
        <f t="shared" si="32"/>
        <v>54</v>
      </c>
      <c r="U273" s="299">
        <f t="shared" si="33"/>
        <v>2.5653206650831355E-2</v>
      </c>
      <c r="V273" s="203" t="s">
        <v>13</v>
      </c>
      <c r="W273" s="244"/>
    </row>
    <row r="274" spans="1:23" ht="15.75" x14ac:dyDescent="0.25">
      <c r="A274" s="96"/>
      <c r="B274" s="97"/>
      <c r="C274" s="97"/>
      <c r="D274" s="97"/>
      <c r="E274" s="104"/>
      <c r="F274" s="104"/>
      <c r="G274" s="98"/>
      <c r="H274" s="99">
        <v>2</v>
      </c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251"/>
      <c r="T274" s="247">
        <f t="shared" si="32"/>
        <v>2</v>
      </c>
      <c r="U274" s="299">
        <f t="shared" si="33"/>
        <v>9.501187648456057E-4</v>
      </c>
      <c r="V274" s="203" t="s">
        <v>14</v>
      </c>
      <c r="W274" s="311"/>
    </row>
    <row r="275" spans="1:23" ht="15.75" x14ac:dyDescent="0.25">
      <c r="A275" s="96"/>
      <c r="B275" s="97"/>
      <c r="C275" s="97"/>
      <c r="D275" s="97"/>
      <c r="E275" s="104"/>
      <c r="F275" s="104"/>
      <c r="G275" s="98"/>
      <c r="H275" s="99">
        <v>4</v>
      </c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251"/>
      <c r="T275" s="247">
        <f t="shared" si="32"/>
        <v>4</v>
      </c>
      <c r="U275" s="299">
        <f t="shared" si="33"/>
        <v>1.9002375296912114E-3</v>
      </c>
      <c r="V275" s="203" t="s">
        <v>30</v>
      </c>
      <c r="W275" s="311"/>
    </row>
    <row r="276" spans="1:23" ht="15.75" x14ac:dyDescent="0.25">
      <c r="A276" s="96"/>
      <c r="B276" s="97"/>
      <c r="C276" s="97"/>
      <c r="D276" s="97"/>
      <c r="E276" s="104"/>
      <c r="F276" s="104"/>
      <c r="G276" s="98"/>
      <c r="H276" s="99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251"/>
      <c r="T276" s="247">
        <f t="shared" si="32"/>
        <v>0</v>
      </c>
      <c r="U276" s="299">
        <f t="shared" si="33"/>
        <v>0</v>
      </c>
      <c r="V276" s="203" t="s">
        <v>31</v>
      </c>
      <c r="W276" s="105"/>
    </row>
    <row r="277" spans="1:23" ht="15.75" x14ac:dyDescent="0.25">
      <c r="A277" s="96"/>
      <c r="B277" s="97"/>
      <c r="C277" s="97"/>
      <c r="D277" s="97"/>
      <c r="E277" s="104"/>
      <c r="F277" s="104"/>
      <c r="G277" s="98"/>
      <c r="H277" s="99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251"/>
      <c r="T277" s="247">
        <f t="shared" si="32"/>
        <v>0</v>
      </c>
      <c r="U277" s="299">
        <f t="shared" si="33"/>
        <v>0</v>
      </c>
      <c r="V277" s="203" t="s">
        <v>168</v>
      </c>
      <c r="W277" s="323"/>
    </row>
    <row r="278" spans="1:23" ht="15.75" x14ac:dyDescent="0.25">
      <c r="A278" s="96"/>
      <c r="B278" s="97"/>
      <c r="C278" s="97"/>
      <c r="D278" s="97"/>
      <c r="E278" s="104"/>
      <c r="F278" s="104"/>
      <c r="G278" s="98"/>
      <c r="H278" s="99">
        <v>2</v>
      </c>
      <c r="I278" s="63"/>
      <c r="J278" s="63">
        <v>1</v>
      </c>
      <c r="K278" s="63"/>
      <c r="L278" s="63"/>
      <c r="M278" s="63"/>
      <c r="N278" s="63"/>
      <c r="O278" s="63"/>
      <c r="P278" s="63"/>
      <c r="Q278" s="63"/>
      <c r="R278" s="63"/>
      <c r="S278" s="251"/>
      <c r="T278" s="247">
        <f t="shared" si="32"/>
        <v>3</v>
      </c>
      <c r="U278" s="299">
        <f t="shared" si="33"/>
        <v>1.4251781472684087E-3</v>
      </c>
      <c r="V278" s="204" t="s">
        <v>202</v>
      </c>
      <c r="W278" s="105"/>
    </row>
    <row r="279" spans="1:23" ht="15.75" x14ac:dyDescent="0.25">
      <c r="A279" s="96"/>
      <c r="B279" s="97"/>
      <c r="C279" s="97"/>
      <c r="D279" s="97"/>
      <c r="E279" s="104"/>
      <c r="F279" s="104"/>
      <c r="G279" s="98"/>
      <c r="H279" s="99">
        <v>2</v>
      </c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251">
        <v>4</v>
      </c>
      <c r="T279" s="247">
        <f t="shared" si="32"/>
        <v>6</v>
      </c>
      <c r="U279" s="299">
        <f t="shared" si="33"/>
        <v>2.8503562945368173E-3</v>
      </c>
      <c r="V279" s="203" t="s">
        <v>0</v>
      </c>
      <c r="W279" s="354"/>
    </row>
    <row r="280" spans="1:23" ht="15.75" x14ac:dyDescent="0.25">
      <c r="A280" s="96"/>
      <c r="B280" s="97"/>
      <c r="C280" s="97"/>
      <c r="D280" s="97"/>
      <c r="E280" s="104"/>
      <c r="F280" s="104"/>
      <c r="G280" s="98"/>
      <c r="H280" s="99">
        <v>31</v>
      </c>
      <c r="I280" s="63"/>
      <c r="J280" s="63">
        <v>9</v>
      </c>
      <c r="K280" s="63"/>
      <c r="L280" s="63"/>
      <c r="M280" s="63"/>
      <c r="N280" s="63"/>
      <c r="O280" s="63"/>
      <c r="P280" s="63"/>
      <c r="Q280" s="63"/>
      <c r="R280" s="63"/>
      <c r="S280" s="251">
        <v>13</v>
      </c>
      <c r="T280" s="247">
        <f t="shared" si="32"/>
        <v>53</v>
      </c>
      <c r="U280" s="299">
        <f t="shared" si="33"/>
        <v>2.517814726840855E-2</v>
      </c>
      <c r="V280" s="203" t="s">
        <v>11</v>
      </c>
      <c r="W280" s="354"/>
    </row>
    <row r="281" spans="1:23" ht="15.75" x14ac:dyDescent="0.25">
      <c r="A281" s="96"/>
      <c r="B281" s="97"/>
      <c r="C281" s="97"/>
      <c r="D281" s="97"/>
      <c r="E281" s="104"/>
      <c r="F281" s="104" t="s">
        <v>100</v>
      </c>
      <c r="G281" s="98"/>
      <c r="H281" s="99">
        <v>25</v>
      </c>
      <c r="I281" s="63"/>
      <c r="J281" s="63">
        <v>1</v>
      </c>
      <c r="K281" s="63"/>
      <c r="L281" s="63"/>
      <c r="M281" s="63"/>
      <c r="N281" s="63"/>
      <c r="O281" s="63"/>
      <c r="P281" s="63"/>
      <c r="Q281" s="63"/>
      <c r="R281" s="63"/>
      <c r="S281" s="251"/>
      <c r="T281" s="247">
        <f t="shared" si="32"/>
        <v>26</v>
      </c>
      <c r="U281" s="299">
        <f t="shared" si="33"/>
        <v>1.2351543942992874E-2</v>
      </c>
      <c r="V281" s="203" t="s">
        <v>33</v>
      </c>
      <c r="W281" s="326"/>
    </row>
    <row r="282" spans="1:23" ht="15.75" x14ac:dyDescent="0.25">
      <c r="A282" s="96"/>
      <c r="B282" s="97"/>
      <c r="C282" s="97"/>
      <c r="D282" s="97"/>
      <c r="E282" s="104"/>
      <c r="F282" s="104"/>
      <c r="G282" s="98"/>
      <c r="H282" s="99"/>
      <c r="I282" s="63"/>
      <c r="J282" s="63">
        <v>2</v>
      </c>
      <c r="K282" s="63"/>
      <c r="L282" s="63"/>
      <c r="M282" s="63"/>
      <c r="N282" s="63"/>
      <c r="O282" s="63"/>
      <c r="P282" s="63"/>
      <c r="Q282" s="63"/>
      <c r="R282" s="63"/>
      <c r="S282" s="251"/>
      <c r="T282" s="247">
        <f t="shared" si="32"/>
        <v>2</v>
      </c>
      <c r="U282" s="299">
        <f t="shared" si="33"/>
        <v>9.501187648456057E-4</v>
      </c>
      <c r="V282" s="204" t="s">
        <v>27</v>
      </c>
      <c r="W282" s="354"/>
    </row>
    <row r="283" spans="1:23" ht="15.75" x14ac:dyDescent="0.25">
      <c r="A283" s="96"/>
      <c r="B283" s="97"/>
      <c r="C283" s="97"/>
      <c r="D283" s="97"/>
      <c r="E283" s="104"/>
      <c r="F283" s="104"/>
      <c r="G283" s="109"/>
      <c r="H283" s="110">
        <v>2</v>
      </c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251"/>
      <c r="T283" s="247">
        <f t="shared" si="32"/>
        <v>2</v>
      </c>
      <c r="U283" s="299">
        <f t="shared" si="33"/>
        <v>9.501187648456057E-4</v>
      </c>
      <c r="V283" s="204" t="s">
        <v>26</v>
      </c>
      <c r="W283" s="212"/>
    </row>
    <row r="284" spans="1:23" ht="15.75" x14ac:dyDescent="0.25">
      <c r="A284" s="96"/>
      <c r="B284" s="97"/>
      <c r="C284" s="97"/>
      <c r="D284" s="97"/>
      <c r="E284" s="104"/>
      <c r="F284" s="104"/>
      <c r="G284" s="109"/>
      <c r="H284" s="110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251">
        <v>2</v>
      </c>
      <c r="T284" s="247">
        <f t="shared" si="32"/>
        <v>2</v>
      </c>
      <c r="U284" s="299">
        <f t="shared" si="33"/>
        <v>9.501187648456057E-4</v>
      </c>
      <c r="V284" s="204" t="s">
        <v>45</v>
      </c>
      <c r="W284" s="103"/>
    </row>
    <row r="285" spans="1:23" ht="16.5" thickBot="1" x14ac:dyDescent="0.3">
      <c r="A285" s="96"/>
      <c r="B285" s="97"/>
      <c r="C285" s="97"/>
      <c r="D285" s="97"/>
      <c r="E285" s="104"/>
      <c r="F285" s="104"/>
      <c r="G285" s="109"/>
      <c r="H285" s="186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252">
        <v>2</v>
      </c>
      <c r="T285" s="248">
        <f t="shared" si="32"/>
        <v>2</v>
      </c>
      <c r="U285" s="245">
        <f>($T285)/$D$269</f>
        <v>9.501187648456057E-4</v>
      </c>
      <c r="V285" s="205" t="s">
        <v>164</v>
      </c>
      <c r="W285" s="212"/>
    </row>
    <row r="286" spans="1:23" ht="15.75" x14ac:dyDescent="0.25">
      <c r="A286" s="96"/>
      <c r="B286" s="97"/>
      <c r="C286" s="97"/>
      <c r="D286" s="97"/>
      <c r="E286" s="104"/>
      <c r="F286" s="104"/>
      <c r="G286" s="98"/>
      <c r="H286" s="90"/>
      <c r="I286" s="111"/>
      <c r="J286" s="111"/>
      <c r="K286" s="111"/>
      <c r="L286" s="111"/>
      <c r="M286" s="111"/>
      <c r="N286" s="111"/>
      <c r="O286" s="111"/>
      <c r="P286" s="111"/>
      <c r="Q286" s="111"/>
      <c r="R286" s="111"/>
      <c r="S286" s="253"/>
      <c r="T286" s="249">
        <f t="shared" si="32"/>
        <v>0</v>
      </c>
      <c r="U286" s="183">
        <f>($T286)/$D$269</f>
        <v>0</v>
      </c>
      <c r="V286" s="206" t="s">
        <v>10</v>
      </c>
      <c r="W286" s="106"/>
    </row>
    <row r="287" spans="1:23" ht="15.75" x14ac:dyDescent="0.25">
      <c r="A287" s="96"/>
      <c r="B287" s="97"/>
      <c r="C287" s="97"/>
      <c r="D287" s="97"/>
      <c r="E287" s="104"/>
      <c r="F287" s="104"/>
      <c r="G287" s="98"/>
      <c r="H287" s="99"/>
      <c r="I287" s="213"/>
      <c r="J287" s="63">
        <v>1</v>
      </c>
      <c r="K287" s="63"/>
      <c r="L287" s="63"/>
      <c r="M287" s="63"/>
      <c r="N287" s="63"/>
      <c r="O287" s="63"/>
      <c r="P287" s="63"/>
      <c r="Q287" s="63"/>
      <c r="R287" s="63"/>
      <c r="S287" s="251"/>
      <c r="T287" s="247">
        <f t="shared" si="32"/>
        <v>1</v>
      </c>
      <c r="U287" s="93">
        <f>($T287)/$D$269</f>
        <v>4.7505938242280285E-4</v>
      </c>
      <c r="V287" s="331" t="s">
        <v>94</v>
      </c>
      <c r="W287" s="106"/>
    </row>
    <row r="288" spans="1:23" ht="15.75" x14ac:dyDescent="0.25">
      <c r="A288" s="96"/>
      <c r="B288" s="97"/>
      <c r="C288" s="97"/>
      <c r="D288" s="97"/>
      <c r="E288" s="104"/>
      <c r="F288" s="104"/>
      <c r="G288" s="98"/>
      <c r="H288" s="99"/>
      <c r="I288" s="214">
        <v>1</v>
      </c>
      <c r="J288" s="63"/>
      <c r="K288" s="63"/>
      <c r="L288" s="63"/>
      <c r="M288" s="63"/>
      <c r="N288" s="63"/>
      <c r="O288" s="63"/>
      <c r="P288" s="63"/>
      <c r="Q288" s="63"/>
      <c r="R288" s="63"/>
      <c r="S288" s="251">
        <v>4</v>
      </c>
      <c r="T288" s="247">
        <f t="shared" si="32"/>
        <v>4</v>
      </c>
      <c r="U288" s="93">
        <f t="shared" ref="U288:U297" si="34">($T288)/$D$269</f>
        <v>1.9002375296912114E-3</v>
      </c>
      <c r="V288" s="203" t="s">
        <v>3</v>
      </c>
      <c r="W288" s="105"/>
    </row>
    <row r="289" spans="1:23" ht="15.75" x14ac:dyDescent="0.25">
      <c r="A289" s="96"/>
      <c r="B289" s="97"/>
      <c r="C289" s="97"/>
      <c r="D289" s="97"/>
      <c r="E289" s="97"/>
      <c r="F289" s="104"/>
      <c r="G289" s="98"/>
      <c r="H289" s="99"/>
      <c r="I289" s="214">
        <v>14</v>
      </c>
      <c r="J289" s="63">
        <v>1</v>
      </c>
      <c r="K289" s="63"/>
      <c r="L289" s="63"/>
      <c r="M289" s="63"/>
      <c r="N289" s="63"/>
      <c r="O289" s="63"/>
      <c r="P289" s="63"/>
      <c r="Q289" s="63"/>
      <c r="R289" s="63"/>
      <c r="S289" s="251"/>
      <c r="T289" s="247">
        <f t="shared" si="32"/>
        <v>1</v>
      </c>
      <c r="U289" s="93">
        <f t="shared" si="34"/>
        <v>4.7505938242280285E-4</v>
      </c>
      <c r="V289" s="203" t="s">
        <v>7</v>
      </c>
      <c r="W289" s="106"/>
    </row>
    <row r="290" spans="1:23" ht="15.75" x14ac:dyDescent="0.25">
      <c r="A290" s="96"/>
      <c r="B290" s="97"/>
      <c r="C290" s="97"/>
      <c r="D290" s="97"/>
      <c r="E290" s="97"/>
      <c r="F290" s="104"/>
      <c r="G290" s="98"/>
      <c r="H290" s="99"/>
      <c r="I290" s="214">
        <v>2</v>
      </c>
      <c r="J290" s="63"/>
      <c r="K290" s="63"/>
      <c r="L290" s="63"/>
      <c r="M290" s="63"/>
      <c r="N290" s="63"/>
      <c r="O290" s="63"/>
      <c r="P290" s="63"/>
      <c r="Q290" s="63"/>
      <c r="R290" s="63"/>
      <c r="S290" s="251"/>
      <c r="T290" s="247">
        <f t="shared" si="32"/>
        <v>0</v>
      </c>
      <c r="U290" s="93">
        <f t="shared" si="34"/>
        <v>0</v>
      </c>
      <c r="V290" s="203" t="s">
        <v>8</v>
      </c>
      <c r="W290" s="354"/>
    </row>
    <row r="291" spans="1:23" ht="15.75" x14ac:dyDescent="0.25">
      <c r="A291" s="96"/>
      <c r="B291" s="97"/>
      <c r="C291" s="97"/>
      <c r="D291" s="97"/>
      <c r="E291" s="97"/>
      <c r="F291" s="104"/>
      <c r="G291" s="98"/>
      <c r="H291" s="99"/>
      <c r="I291" s="214"/>
      <c r="J291" s="63"/>
      <c r="K291" s="63"/>
      <c r="L291" s="63"/>
      <c r="M291" s="63"/>
      <c r="N291" s="63"/>
      <c r="O291" s="63"/>
      <c r="P291" s="63"/>
      <c r="Q291" s="63"/>
      <c r="R291" s="63"/>
      <c r="S291" s="251"/>
      <c r="T291" s="247">
        <f t="shared" si="32"/>
        <v>0</v>
      </c>
      <c r="U291" s="93">
        <f t="shared" si="34"/>
        <v>0</v>
      </c>
      <c r="V291" s="203" t="s">
        <v>77</v>
      </c>
      <c r="W291" s="354" t="s">
        <v>280</v>
      </c>
    </row>
    <row r="292" spans="1:23" ht="15.75" x14ac:dyDescent="0.25">
      <c r="A292" s="96"/>
      <c r="B292" s="97"/>
      <c r="C292" s="97"/>
      <c r="D292" s="97"/>
      <c r="E292" s="97"/>
      <c r="F292" s="104"/>
      <c r="G292" s="98"/>
      <c r="H292" s="99"/>
      <c r="I292" s="214">
        <v>2</v>
      </c>
      <c r="J292" s="63"/>
      <c r="K292" s="63"/>
      <c r="L292" s="63"/>
      <c r="M292" s="63"/>
      <c r="N292" s="63"/>
      <c r="O292" s="63"/>
      <c r="P292" s="63"/>
      <c r="Q292" s="63"/>
      <c r="R292" s="63"/>
      <c r="S292" s="251"/>
      <c r="T292" s="247">
        <f t="shared" si="32"/>
        <v>0</v>
      </c>
      <c r="U292" s="93">
        <f t="shared" si="34"/>
        <v>0</v>
      </c>
      <c r="V292" s="203" t="s">
        <v>19</v>
      </c>
      <c r="W292" s="354" t="s">
        <v>188</v>
      </c>
    </row>
    <row r="293" spans="1:23" ht="15.75" x14ac:dyDescent="0.25">
      <c r="A293" s="96"/>
      <c r="B293" s="97"/>
      <c r="C293" s="97"/>
      <c r="D293" s="97"/>
      <c r="E293" s="97"/>
      <c r="F293" s="104"/>
      <c r="G293" s="98"/>
      <c r="H293" s="99"/>
      <c r="I293" s="214"/>
      <c r="J293" s="63"/>
      <c r="K293" s="63"/>
      <c r="L293" s="63"/>
      <c r="M293" s="63"/>
      <c r="N293" s="63"/>
      <c r="O293" s="63"/>
      <c r="P293" s="63"/>
      <c r="Q293" s="63"/>
      <c r="R293" s="63"/>
      <c r="S293" s="251"/>
      <c r="T293" s="247">
        <f t="shared" si="32"/>
        <v>0</v>
      </c>
      <c r="U293" s="93">
        <f t="shared" si="34"/>
        <v>0</v>
      </c>
      <c r="V293" s="203" t="s">
        <v>78</v>
      </c>
      <c r="W293" s="354"/>
    </row>
    <row r="294" spans="1:23" ht="15.75" x14ac:dyDescent="0.25">
      <c r="A294" s="96"/>
      <c r="B294" s="97"/>
      <c r="C294" s="97"/>
      <c r="D294" s="97"/>
      <c r="E294" s="97"/>
      <c r="F294" s="104"/>
      <c r="G294" s="98"/>
      <c r="H294" s="99"/>
      <c r="I294" s="214"/>
      <c r="J294" s="63"/>
      <c r="K294" s="63"/>
      <c r="L294" s="63"/>
      <c r="M294" s="63"/>
      <c r="N294" s="63"/>
      <c r="O294" s="63"/>
      <c r="P294" s="63"/>
      <c r="Q294" s="63"/>
      <c r="R294" s="63"/>
      <c r="S294" s="251"/>
      <c r="T294" s="247">
        <f t="shared" si="32"/>
        <v>0</v>
      </c>
      <c r="U294" s="93">
        <f t="shared" si="34"/>
        <v>0</v>
      </c>
      <c r="V294" s="332" t="s">
        <v>170</v>
      </c>
      <c r="W294" s="354"/>
    </row>
    <row r="295" spans="1:23" ht="15.75" x14ac:dyDescent="0.25">
      <c r="A295" s="96"/>
      <c r="B295" s="97"/>
      <c r="C295" s="97"/>
      <c r="D295" s="97"/>
      <c r="E295" s="104"/>
      <c r="F295" s="104"/>
      <c r="G295" s="98"/>
      <c r="H295" s="99"/>
      <c r="I295" s="214">
        <v>15</v>
      </c>
      <c r="J295" s="63">
        <v>5</v>
      </c>
      <c r="K295" s="63"/>
      <c r="L295" s="63"/>
      <c r="M295" s="63"/>
      <c r="N295" s="63"/>
      <c r="O295" s="63"/>
      <c r="P295" s="63"/>
      <c r="Q295" s="63"/>
      <c r="R295" s="63"/>
      <c r="S295" s="251"/>
      <c r="T295" s="247">
        <f t="shared" si="32"/>
        <v>5</v>
      </c>
      <c r="U295" s="93">
        <f t="shared" si="34"/>
        <v>2.3752969121140144E-3</v>
      </c>
      <c r="V295" s="203" t="s">
        <v>12</v>
      </c>
      <c r="W295" s="326"/>
    </row>
    <row r="296" spans="1:23" ht="15.75" x14ac:dyDescent="0.25">
      <c r="A296" s="96"/>
      <c r="B296" s="97"/>
      <c r="C296" s="97"/>
      <c r="D296" s="97"/>
      <c r="E296" s="104"/>
      <c r="F296" s="104"/>
      <c r="G296" s="98"/>
      <c r="H296" s="99"/>
      <c r="I296" s="63">
        <v>3</v>
      </c>
      <c r="J296" s="63">
        <v>2</v>
      </c>
      <c r="K296" s="63"/>
      <c r="L296" s="63"/>
      <c r="M296" s="63"/>
      <c r="N296" s="63"/>
      <c r="O296" s="63"/>
      <c r="P296" s="63"/>
      <c r="Q296" s="63"/>
      <c r="R296" s="63"/>
      <c r="S296" s="251"/>
      <c r="T296" s="247">
        <f t="shared" si="32"/>
        <v>2</v>
      </c>
      <c r="U296" s="93">
        <f t="shared" si="34"/>
        <v>9.501187648456057E-4</v>
      </c>
      <c r="V296" s="204" t="s">
        <v>164</v>
      </c>
      <c r="W296" s="354"/>
    </row>
    <row r="297" spans="1:23" ht="15.75" x14ac:dyDescent="0.25">
      <c r="A297" s="96"/>
      <c r="B297" s="97"/>
      <c r="C297" s="97"/>
      <c r="D297" s="97"/>
      <c r="E297" s="104"/>
      <c r="F297" s="104"/>
      <c r="G297" s="98"/>
      <c r="H297" s="99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251"/>
      <c r="T297" s="247">
        <f t="shared" si="32"/>
        <v>0</v>
      </c>
      <c r="U297" s="93">
        <f t="shared" si="34"/>
        <v>0</v>
      </c>
      <c r="V297" s="204" t="s">
        <v>92</v>
      </c>
      <c r="W297" s="326"/>
    </row>
    <row r="298" spans="1:23" ht="16.5" thickBot="1" x14ac:dyDescent="0.3">
      <c r="A298" s="96"/>
      <c r="B298" s="97"/>
      <c r="C298" s="97"/>
      <c r="D298" s="97"/>
      <c r="E298" s="104"/>
      <c r="F298" s="104"/>
      <c r="G298" s="98"/>
      <c r="H298" s="107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254"/>
      <c r="T298" s="248">
        <f t="shared" si="32"/>
        <v>0</v>
      </c>
      <c r="U298" s="299">
        <f>($T298)/$D$269</f>
        <v>0</v>
      </c>
      <c r="V298" s="357" t="s">
        <v>94</v>
      </c>
      <c r="W298" s="326"/>
    </row>
    <row r="299" spans="1:23" ht="16.5" thickBot="1" x14ac:dyDescent="0.3">
      <c r="A299" s="96"/>
      <c r="B299" s="97"/>
      <c r="C299" s="97"/>
      <c r="D299" s="97"/>
      <c r="E299" s="104"/>
      <c r="F299" s="104"/>
      <c r="G299" s="98"/>
      <c r="H299" s="430"/>
      <c r="I299" s="431"/>
      <c r="J299" s="432"/>
      <c r="K299" s="431"/>
      <c r="L299" s="431"/>
      <c r="M299" s="431"/>
      <c r="N299" s="431"/>
      <c r="O299" s="431"/>
      <c r="P299" s="431"/>
      <c r="Q299" s="431"/>
      <c r="R299" s="431"/>
      <c r="S299" s="431"/>
      <c r="T299" s="433"/>
      <c r="U299" s="433"/>
      <c r="V299" s="441" t="s">
        <v>267</v>
      </c>
      <c r="W299" s="354" t="s">
        <v>311</v>
      </c>
    </row>
    <row r="300" spans="1:23" ht="15.75" x14ac:dyDescent="0.25">
      <c r="A300" s="96"/>
      <c r="B300" s="97"/>
      <c r="C300" s="97"/>
      <c r="D300" s="97"/>
      <c r="E300" s="104"/>
      <c r="F300" s="104"/>
      <c r="G300" s="109"/>
      <c r="H300" s="90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250"/>
      <c r="T300" s="249">
        <f t="shared" ref="T300:T309" si="35">SUM(H300,J300,L300,N300,P300,R300,S300)</f>
        <v>0</v>
      </c>
      <c r="U300" s="183">
        <f>($T300)/$D$269</f>
        <v>0</v>
      </c>
      <c r="V300" s="202" t="s">
        <v>89</v>
      </c>
      <c r="W300" s="354" t="s">
        <v>260</v>
      </c>
    </row>
    <row r="301" spans="1:23" ht="15.75" x14ac:dyDescent="0.25">
      <c r="A301" s="96"/>
      <c r="B301" s="97"/>
      <c r="C301" s="97"/>
      <c r="D301" s="97"/>
      <c r="E301" s="104"/>
      <c r="F301" s="104"/>
      <c r="G301" s="109"/>
      <c r="H301" s="99">
        <v>1</v>
      </c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251"/>
      <c r="T301" s="247">
        <f t="shared" si="35"/>
        <v>1</v>
      </c>
      <c r="U301" s="183">
        <f>($T301)/$D$269</f>
        <v>4.7505938242280285E-4</v>
      </c>
      <c r="V301" s="203" t="s">
        <v>83</v>
      </c>
      <c r="W301" s="354" t="s">
        <v>312</v>
      </c>
    </row>
    <row r="302" spans="1:23" x14ac:dyDescent="0.25">
      <c r="A302" s="96"/>
      <c r="B302" s="97"/>
      <c r="C302" s="97"/>
      <c r="D302" s="97"/>
      <c r="E302" s="104"/>
      <c r="F302" s="104"/>
      <c r="G302" s="109"/>
      <c r="H302" s="99">
        <v>2</v>
      </c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251"/>
      <c r="T302" s="247">
        <f t="shared" si="35"/>
        <v>2</v>
      </c>
      <c r="U302" s="183">
        <f t="shared" ref="U302:U308" si="36">($T302)/$D$269</f>
        <v>9.501187648456057E-4</v>
      </c>
      <c r="V302" s="355" t="s">
        <v>11</v>
      </c>
      <c r="W302" s="354" t="s">
        <v>313</v>
      </c>
    </row>
    <row r="303" spans="1:23" ht="15.75" x14ac:dyDescent="0.25">
      <c r="A303" s="96"/>
      <c r="B303" s="97"/>
      <c r="C303" s="97"/>
      <c r="D303" s="97"/>
      <c r="E303" s="104"/>
      <c r="F303" s="104"/>
      <c r="G303" s="109"/>
      <c r="H303" s="99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251"/>
      <c r="T303" s="247">
        <f t="shared" si="35"/>
        <v>0</v>
      </c>
      <c r="U303" s="183">
        <f t="shared" si="36"/>
        <v>0</v>
      </c>
      <c r="V303" s="203" t="s">
        <v>71</v>
      </c>
      <c r="W303" s="326" t="s">
        <v>314</v>
      </c>
    </row>
    <row r="304" spans="1:23" ht="15.75" x14ac:dyDescent="0.25">
      <c r="A304" s="96"/>
      <c r="B304" s="97"/>
      <c r="C304" s="97"/>
      <c r="D304" s="97"/>
      <c r="E304" s="104"/>
      <c r="F304" s="104"/>
      <c r="G304" s="109"/>
      <c r="H304" s="99">
        <v>1</v>
      </c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251"/>
      <c r="T304" s="247">
        <f t="shared" si="35"/>
        <v>1</v>
      </c>
      <c r="U304" s="183">
        <f t="shared" si="36"/>
        <v>4.7505938242280285E-4</v>
      </c>
      <c r="V304" s="204" t="s">
        <v>85</v>
      </c>
      <c r="W304" s="326" t="s">
        <v>284</v>
      </c>
    </row>
    <row r="305" spans="1:23" ht="15.75" x14ac:dyDescent="0.25">
      <c r="A305" s="96"/>
      <c r="B305" s="97"/>
      <c r="C305" s="97"/>
      <c r="D305" s="97"/>
      <c r="E305" s="104"/>
      <c r="F305" s="104"/>
      <c r="G305" s="109"/>
      <c r="H305" s="99">
        <v>5</v>
      </c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251"/>
      <c r="T305" s="247">
        <f t="shared" si="35"/>
        <v>5</v>
      </c>
      <c r="U305" s="183">
        <f t="shared" si="36"/>
        <v>2.3752969121140144E-3</v>
      </c>
      <c r="V305" s="204" t="s">
        <v>26</v>
      </c>
      <c r="W305" s="326" t="s">
        <v>326</v>
      </c>
    </row>
    <row r="306" spans="1:23" ht="15.75" x14ac:dyDescent="0.25">
      <c r="A306" s="96"/>
      <c r="B306" s="97"/>
      <c r="C306" s="97"/>
      <c r="D306" s="97"/>
      <c r="E306" s="104"/>
      <c r="F306" s="104"/>
      <c r="G306" s="109"/>
      <c r="H306" s="107">
        <v>3</v>
      </c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254"/>
      <c r="T306" s="247">
        <f t="shared" si="35"/>
        <v>3</v>
      </c>
      <c r="U306" s="183">
        <f t="shared" si="36"/>
        <v>1.4251781472684087E-3</v>
      </c>
      <c r="V306" s="207" t="s">
        <v>35</v>
      </c>
      <c r="W306" s="326"/>
    </row>
    <row r="307" spans="1:23" ht="15.75" x14ac:dyDescent="0.25">
      <c r="A307" s="96"/>
      <c r="B307" s="97"/>
      <c r="C307" s="97"/>
      <c r="D307" s="97"/>
      <c r="E307" s="104"/>
      <c r="F307" s="104"/>
      <c r="G307" s="109"/>
      <c r="H307" s="107">
        <f>23-15</f>
        <v>8</v>
      </c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254"/>
      <c r="T307" s="247">
        <f t="shared" si="35"/>
        <v>8</v>
      </c>
      <c r="U307" s="183">
        <f t="shared" si="36"/>
        <v>3.8004750593824228E-3</v>
      </c>
      <c r="V307" s="207" t="s">
        <v>286</v>
      </c>
      <c r="W307" s="429"/>
    </row>
    <row r="308" spans="1:23" ht="15.75" x14ac:dyDescent="0.25">
      <c r="A308" s="96"/>
      <c r="B308" s="97"/>
      <c r="C308" s="97"/>
      <c r="D308" s="97"/>
      <c r="E308" s="104"/>
      <c r="F308" s="104"/>
      <c r="G308" s="109"/>
      <c r="H308" s="107">
        <v>1</v>
      </c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254"/>
      <c r="T308" s="247">
        <f t="shared" si="35"/>
        <v>1</v>
      </c>
      <c r="U308" s="183">
        <f t="shared" si="36"/>
        <v>4.7505938242280285E-4</v>
      </c>
      <c r="V308" s="203" t="s">
        <v>172</v>
      </c>
      <c r="W308" s="326"/>
    </row>
    <row r="309" spans="1:23" ht="16.5" thickBot="1" x14ac:dyDescent="0.3">
      <c r="A309" s="117"/>
      <c r="B309" s="118"/>
      <c r="C309" s="118"/>
      <c r="D309" s="118"/>
      <c r="E309" s="119"/>
      <c r="F309" s="119"/>
      <c r="G309" s="120"/>
      <c r="H309" s="107">
        <v>1</v>
      </c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254"/>
      <c r="T309" s="247">
        <f t="shared" si="35"/>
        <v>1</v>
      </c>
      <c r="U309" s="299">
        <f>($T309)/$D$269</f>
        <v>4.7505938242280285E-4</v>
      </c>
      <c r="V309" s="205" t="s">
        <v>310</v>
      </c>
      <c r="W309" s="352"/>
    </row>
    <row r="310" spans="1:23" ht="15.75" thickBot="1" x14ac:dyDescent="0.3">
      <c r="A310" s="122"/>
      <c r="B310" s="122"/>
      <c r="C310" s="122"/>
      <c r="D310" s="122"/>
      <c r="E310" s="122"/>
      <c r="F310" s="122"/>
      <c r="G310" s="47" t="s">
        <v>4</v>
      </c>
      <c r="H310" s="123">
        <f t="shared" ref="H310:S310" si="37">SUM(H270:H309)</f>
        <v>185</v>
      </c>
      <c r="I310" s="123">
        <f t="shared" si="37"/>
        <v>37</v>
      </c>
      <c r="J310" s="123">
        <f t="shared" si="37"/>
        <v>30</v>
      </c>
      <c r="K310" s="123">
        <f t="shared" si="37"/>
        <v>0</v>
      </c>
      <c r="L310" s="123">
        <f t="shared" si="37"/>
        <v>0</v>
      </c>
      <c r="M310" s="123">
        <f t="shared" si="37"/>
        <v>0</v>
      </c>
      <c r="N310" s="123">
        <f t="shared" si="37"/>
        <v>0</v>
      </c>
      <c r="O310" s="123">
        <f t="shared" si="37"/>
        <v>0</v>
      </c>
      <c r="P310" s="123">
        <f t="shared" si="37"/>
        <v>0</v>
      </c>
      <c r="Q310" s="123">
        <f t="shared" si="37"/>
        <v>0</v>
      </c>
      <c r="R310" s="123">
        <f t="shared" si="37"/>
        <v>0</v>
      </c>
      <c r="S310" s="123">
        <f t="shared" si="37"/>
        <v>37</v>
      </c>
      <c r="T310" s="198">
        <f>SUM(H310,J310,L310,N310,P310,R310,S310)</f>
        <v>252</v>
      </c>
      <c r="U310" s="333">
        <f>($T310)/$D$269</f>
        <v>0.11971496437054632</v>
      </c>
      <c r="V310" s="40"/>
    </row>
    <row r="312" spans="1:23" ht="15.75" thickBot="1" x14ac:dyDescent="0.3"/>
    <row r="313" spans="1:23" ht="75.75" thickBot="1" x14ac:dyDescent="0.3">
      <c r="A313" s="42" t="s">
        <v>22</v>
      </c>
      <c r="B313" s="42" t="s">
        <v>47</v>
      </c>
      <c r="C313" s="43" t="s">
        <v>52</v>
      </c>
      <c r="D313" s="43" t="s">
        <v>17</v>
      </c>
      <c r="E313" s="42" t="s">
        <v>16</v>
      </c>
      <c r="F313" s="44" t="s">
        <v>1</v>
      </c>
      <c r="G313" s="45" t="s">
        <v>23</v>
      </c>
      <c r="H313" s="46" t="s">
        <v>72</v>
      </c>
      <c r="I313" s="46" t="s">
        <v>73</v>
      </c>
      <c r="J313" s="46" t="s">
        <v>53</v>
      </c>
      <c r="K313" s="46" t="s">
        <v>58</v>
      </c>
      <c r="L313" s="46" t="s">
        <v>54</v>
      </c>
      <c r="M313" s="46" t="s">
        <v>59</v>
      </c>
      <c r="N313" s="46" t="s">
        <v>55</v>
      </c>
      <c r="O313" s="46" t="s">
        <v>60</v>
      </c>
      <c r="P313" s="46" t="s">
        <v>56</v>
      </c>
      <c r="Q313" s="46" t="s">
        <v>74</v>
      </c>
      <c r="R313" s="46" t="s">
        <v>115</v>
      </c>
      <c r="S313" s="46" t="s">
        <v>41</v>
      </c>
      <c r="T313" s="46" t="s">
        <v>4</v>
      </c>
      <c r="U313" s="42" t="s">
        <v>2</v>
      </c>
      <c r="V313" s="80" t="s">
        <v>20</v>
      </c>
      <c r="W313" s="81" t="s">
        <v>6</v>
      </c>
    </row>
    <row r="314" spans="1:23" ht="15.75" thickBot="1" x14ac:dyDescent="0.3">
      <c r="A314" s="316">
        <v>1514188</v>
      </c>
      <c r="B314" s="209" t="s">
        <v>110</v>
      </c>
      <c r="C314" s="316">
        <v>1920</v>
      </c>
      <c r="D314" s="316">
        <v>2144</v>
      </c>
      <c r="E314" s="321">
        <v>1854</v>
      </c>
      <c r="F314" s="322">
        <f>E314/D314</f>
        <v>0.86473880597014929</v>
      </c>
      <c r="G314" s="48">
        <v>45329</v>
      </c>
      <c r="H314" s="82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4"/>
      <c r="T314" s="296"/>
      <c r="U314" s="115"/>
      <c r="V314" s="86" t="s">
        <v>75</v>
      </c>
      <c r="W314" s="353" t="s">
        <v>70</v>
      </c>
    </row>
    <row r="315" spans="1:23" ht="15.75" x14ac:dyDescent="0.25">
      <c r="A315" s="87"/>
      <c r="B315" s="88"/>
      <c r="C315" s="88"/>
      <c r="D315" s="88"/>
      <c r="E315" s="88"/>
      <c r="F315" s="88"/>
      <c r="G315" s="89"/>
      <c r="H315" s="90">
        <v>9</v>
      </c>
      <c r="I315" s="91"/>
      <c r="J315" s="91">
        <v>5</v>
      </c>
      <c r="K315" s="91"/>
      <c r="L315" s="91"/>
      <c r="M315" s="91"/>
      <c r="N315" s="91"/>
      <c r="O315" s="91"/>
      <c r="P315" s="91"/>
      <c r="Q315" s="91"/>
      <c r="R315" s="91"/>
      <c r="S315" s="250">
        <v>10</v>
      </c>
      <c r="T315" s="249">
        <f>SUM(H315,J315,L315,N315,P315,R315,S315)</f>
        <v>24</v>
      </c>
      <c r="U315" s="349">
        <f>($T315)/$D$314</f>
        <v>1.1194029850746268E-2</v>
      </c>
      <c r="V315" s="202" t="s">
        <v>15</v>
      </c>
      <c r="W315" s="210" t="s">
        <v>120</v>
      </c>
    </row>
    <row r="316" spans="1:23" ht="15.75" x14ac:dyDescent="0.25">
      <c r="A316" s="96"/>
      <c r="B316" s="97"/>
      <c r="C316" s="97"/>
      <c r="D316" s="97"/>
      <c r="E316" s="97"/>
      <c r="F316" s="97"/>
      <c r="G316" s="98"/>
      <c r="H316" s="348">
        <v>2</v>
      </c>
      <c r="I316" s="111"/>
      <c r="J316" s="111"/>
      <c r="K316" s="111"/>
      <c r="L316" s="111"/>
      <c r="M316" s="111"/>
      <c r="N316" s="111"/>
      <c r="O316" s="111"/>
      <c r="P316" s="111"/>
      <c r="Q316" s="111"/>
      <c r="R316" s="111"/>
      <c r="S316" s="253"/>
      <c r="T316" s="249">
        <f>SUM(H316,J316,L316,N316,P316,R316,S316)</f>
        <v>2</v>
      </c>
      <c r="U316" s="299">
        <f>($T316)/$D$314</f>
        <v>9.3283582089552237E-4</v>
      </c>
      <c r="V316" s="206" t="s">
        <v>43</v>
      </c>
      <c r="W316" s="210" t="s">
        <v>317</v>
      </c>
    </row>
    <row r="317" spans="1:23" ht="15.75" x14ac:dyDescent="0.25">
      <c r="A317" s="96"/>
      <c r="B317" s="97"/>
      <c r="C317" s="97"/>
      <c r="D317" s="97"/>
      <c r="E317" s="97"/>
      <c r="F317" s="97"/>
      <c r="G317" s="98"/>
      <c r="H317" s="99">
        <v>4</v>
      </c>
      <c r="I317" s="63"/>
      <c r="J317" s="63">
        <v>1</v>
      </c>
      <c r="K317" s="63"/>
      <c r="L317" s="63"/>
      <c r="M317" s="63"/>
      <c r="N317" s="63"/>
      <c r="O317" s="63"/>
      <c r="P317" s="63"/>
      <c r="Q317" s="63"/>
      <c r="R317" s="63"/>
      <c r="S317" s="251"/>
      <c r="T317" s="247">
        <f t="shared" ref="T317:T343" si="38">SUM(H317,J317,L317,N317,P317,R317,S317)</f>
        <v>5</v>
      </c>
      <c r="U317" s="299">
        <f t="shared" ref="U317:U328" si="39">($T317)/$D$314</f>
        <v>2.3320895522388058E-3</v>
      </c>
      <c r="V317" s="203" t="s">
        <v>5</v>
      </c>
      <c r="W317" s="351"/>
    </row>
    <row r="318" spans="1:23" ht="15.75" x14ac:dyDescent="0.25">
      <c r="A318" s="96"/>
      <c r="B318" s="97"/>
      <c r="C318" s="97"/>
      <c r="D318" s="97"/>
      <c r="E318" s="104"/>
      <c r="F318" s="104"/>
      <c r="G318" s="98"/>
      <c r="H318" s="99">
        <v>60</v>
      </c>
      <c r="I318" s="63"/>
      <c r="J318" s="63">
        <v>8</v>
      </c>
      <c r="K318" s="63"/>
      <c r="L318" s="63"/>
      <c r="M318" s="63"/>
      <c r="N318" s="63"/>
      <c r="O318" s="63"/>
      <c r="P318" s="63"/>
      <c r="Q318" s="63"/>
      <c r="R318" s="63"/>
      <c r="S318" s="251">
        <v>4</v>
      </c>
      <c r="T318" s="247">
        <f t="shared" si="38"/>
        <v>72</v>
      </c>
      <c r="U318" s="299">
        <f t="shared" si="39"/>
        <v>3.3582089552238806E-2</v>
      </c>
      <c r="V318" s="203" t="s">
        <v>13</v>
      </c>
      <c r="W318" s="244"/>
    </row>
    <row r="319" spans="1:23" ht="15.75" x14ac:dyDescent="0.25">
      <c r="A319" s="96"/>
      <c r="B319" s="97"/>
      <c r="C319" s="97"/>
      <c r="D319" s="97"/>
      <c r="E319" s="104"/>
      <c r="F319" s="104"/>
      <c r="G319" s="98"/>
      <c r="H319" s="99">
        <v>10</v>
      </c>
      <c r="I319" s="63"/>
      <c r="J319" s="63">
        <v>1</v>
      </c>
      <c r="K319" s="63"/>
      <c r="L319" s="63"/>
      <c r="M319" s="63"/>
      <c r="N319" s="63"/>
      <c r="O319" s="63"/>
      <c r="P319" s="63"/>
      <c r="Q319" s="63"/>
      <c r="R319" s="63"/>
      <c r="S319" s="251"/>
      <c r="T319" s="247">
        <f t="shared" si="38"/>
        <v>11</v>
      </c>
      <c r="U319" s="299">
        <f t="shared" si="39"/>
        <v>5.1305970149253732E-3</v>
      </c>
      <c r="V319" s="203" t="s">
        <v>14</v>
      </c>
      <c r="W319" s="311"/>
    </row>
    <row r="320" spans="1:23" ht="15.75" x14ac:dyDescent="0.25">
      <c r="A320" s="96"/>
      <c r="B320" s="97"/>
      <c r="C320" s="97"/>
      <c r="D320" s="97"/>
      <c r="E320" s="104"/>
      <c r="F320" s="104"/>
      <c r="G320" s="98"/>
      <c r="H320" s="99">
        <v>11</v>
      </c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251"/>
      <c r="T320" s="247">
        <f t="shared" si="38"/>
        <v>11</v>
      </c>
      <c r="U320" s="299">
        <f t="shared" si="39"/>
        <v>5.1305970149253732E-3</v>
      </c>
      <c r="V320" s="203" t="s">
        <v>30</v>
      </c>
      <c r="W320" s="311"/>
    </row>
    <row r="321" spans="1:23" ht="15.75" x14ac:dyDescent="0.25">
      <c r="A321" s="96"/>
      <c r="B321" s="97"/>
      <c r="C321" s="97"/>
      <c r="D321" s="97"/>
      <c r="E321" s="104"/>
      <c r="F321" s="104"/>
      <c r="G321" s="98"/>
      <c r="H321" s="99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251"/>
      <c r="T321" s="247">
        <f t="shared" si="38"/>
        <v>0</v>
      </c>
      <c r="U321" s="299">
        <f t="shared" si="39"/>
        <v>0</v>
      </c>
      <c r="V321" s="203" t="s">
        <v>31</v>
      </c>
      <c r="W321" s="105"/>
    </row>
    <row r="322" spans="1:23" ht="15.75" x14ac:dyDescent="0.25">
      <c r="A322" s="96"/>
      <c r="B322" s="97"/>
      <c r="C322" s="97"/>
      <c r="D322" s="97"/>
      <c r="E322" s="104"/>
      <c r="F322" s="104"/>
      <c r="G322" s="98"/>
      <c r="H322" s="99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251"/>
      <c r="T322" s="247">
        <f t="shared" si="38"/>
        <v>0</v>
      </c>
      <c r="U322" s="299">
        <f t="shared" si="39"/>
        <v>0</v>
      </c>
      <c r="V322" s="203" t="s">
        <v>168</v>
      </c>
      <c r="W322" s="323"/>
    </row>
    <row r="323" spans="1:23" ht="15.75" x14ac:dyDescent="0.25">
      <c r="A323" s="96"/>
      <c r="B323" s="97"/>
      <c r="C323" s="97"/>
      <c r="D323" s="97"/>
      <c r="E323" s="104"/>
      <c r="F323" s="104"/>
      <c r="G323" s="98"/>
      <c r="H323" s="99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251"/>
      <c r="T323" s="247">
        <f t="shared" si="38"/>
        <v>0</v>
      </c>
      <c r="U323" s="299">
        <f t="shared" si="39"/>
        <v>0</v>
      </c>
      <c r="V323" s="204" t="s">
        <v>202</v>
      </c>
      <c r="W323" s="105"/>
    </row>
    <row r="324" spans="1:23" ht="15.75" x14ac:dyDescent="0.25">
      <c r="A324" s="96"/>
      <c r="B324" s="97"/>
      <c r="C324" s="97"/>
      <c r="D324" s="97"/>
      <c r="E324" s="104"/>
      <c r="F324" s="104"/>
      <c r="G324" s="98"/>
      <c r="H324" s="99">
        <v>3</v>
      </c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251">
        <v>2</v>
      </c>
      <c r="T324" s="247">
        <f t="shared" si="38"/>
        <v>5</v>
      </c>
      <c r="U324" s="299">
        <f t="shared" si="39"/>
        <v>2.3320895522388058E-3</v>
      </c>
      <c r="V324" s="203" t="s">
        <v>0</v>
      </c>
      <c r="W324" s="354"/>
    </row>
    <row r="325" spans="1:23" ht="15.75" x14ac:dyDescent="0.25">
      <c r="A325" s="96"/>
      <c r="B325" s="97"/>
      <c r="C325" s="97"/>
      <c r="D325" s="97"/>
      <c r="E325" s="104"/>
      <c r="F325" s="104"/>
      <c r="G325" s="98"/>
      <c r="H325" s="99">
        <v>33</v>
      </c>
      <c r="I325" s="63"/>
      <c r="J325" s="63">
        <v>1</v>
      </c>
      <c r="K325" s="63"/>
      <c r="L325" s="63"/>
      <c r="M325" s="63"/>
      <c r="N325" s="63"/>
      <c r="O325" s="63"/>
      <c r="P325" s="63"/>
      <c r="Q325" s="63"/>
      <c r="R325" s="63"/>
      <c r="S325" s="251">
        <v>3</v>
      </c>
      <c r="T325" s="247">
        <f t="shared" si="38"/>
        <v>37</v>
      </c>
      <c r="U325" s="299">
        <f t="shared" si="39"/>
        <v>1.7257462686567165E-2</v>
      </c>
      <c r="V325" s="203" t="s">
        <v>11</v>
      </c>
      <c r="W325" s="354"/>
    </row>
    <row r="326" spans="1:23" ht="15.75" x14ac:dyDescent="0.25">
      <c r="A326" s="96"/>
      <c r="B326" s="97"/>
      <c r="C326" s="97"/>
      <c r="D326" s="97"/>
      <c r="E326" s="104"/>
      <c r="F326" s="104" t="s">
        <v>100</v>
      </c>
      <c r="G326" s="98"/>
      <c r="H326" s="99">
        <v>3</v>
      </c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251">
        <v>2</v>
      </c>
      <c r="T326" s="247">
        <f t="shared" si="38"/>
        <v>5</v>
      </c>
      <c r="U326" s="299">
        <f t="shared" si="39"/>
        <v>2.3320895522388058E-3</v>
      </c>
      <c r="V326" s="203" t="s">
        <v>33</v>
      </c>
      <c r="W326" s="326"/>
    </row>
    <row r="327" spans="1:23" ht="15.75" x14ac:dyDescent="0.25">
      <c r="A327" s="96"/>
      <c r="B327" s="97"/>
      <c r="C327" s="97"/>
      <c r="D327" s="97"/>
      <c r="E327" s="104"/>
      <c r="F327" s="104"/>
      <c r="G327" s="98"/>
      <c r="H327" s="99"/>
      <c r="I327" s="63"/>
      <c r="J327" s="63">
        <v>1</v>
      </c>
      <c r="K327" s="63"/>
      <c r="L327" s="63"/>
      <c r="M327" s="63"/>
      <c r="N327" s="63"/>
      <c r="O327" s="63"/>
      <c r="P327" s="63"/>
      <c r="Q327" s="63"/>
      <c r="R327" s="63">
        <v>1</v>
      </c>
      <c r="S327" s="251"/>
      <c r="T327" s="247">
        <f t="shared" si="38"/>
        <v>2</v>
      </c>
      <c r="U327" s="299">
        <f t="shared" si="39"/>
        <v>9.3283582089552237E-4</v>
      </c>
      <c r="V327" s="204" t="s">
        <v>27</v>
      </c>
      <c r="W327" s="354"/>
    </row>
    <row r="328" spans="1:23" ht="15.75" x14ac:dyDescent="0.25">
      <c r="A328" s="96"/>
      <c r="B328" s="97"/>
      <c r="C328" s="97"/>
      <c r="D328" s="97"/>
      <c r="E328" s="104"/>
      <c r="F328" s="104"/>
      <c r="G328" s="109"/>
      <c r="H328" s="110">
        <v>4</v>
      </c>
      <c r="I328" s="63"/>
      <c r="J328" s="63">
        <v>11</v>
      </c>
      <c r="K328" s="63"/>
      <c r="L328" s="63"/>
      <c r="M328" s="63"/>
      <c r="N328" s="63"/>
      <c r="O328" s="63"/>
      <c r="P328" s="63"/>
      <c r="Q328" s="63"/>
      <c r="R328" s="63"/>
      <c r="S328" s="251"/>
      <c r="T328" s="247">
        <f t="shared" si="38"/>
        <v>15</v>
      </c>
      <c r="U328" s="299">
        <f t="shared" si="39"/>
        <v>6.9962686567164182E-3</v>
      </c>
      <c r="V328" s="204" t="s">
        <v>26</v>
      </c>
      <c r="W328" s="212"/>
    </row>
    <row r="329" spans="1:23" ht="15.75" x14ac:dyDescent="0.25">
      <c r="A329" s="96"/>
      <c r="B329" s="97"/>
      <c r="C329" s="97"/>
      <c r="D329" s="97"/>
      <c r="E329" s="104"/>
      <c r="F329" s="104"/>
      <c r="G329" s="109"/>
      <c r="H329" s="110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251"/>
      <c r="T329" s="247">
        <f t="shared" si="38"/>
        <v>0</v>
      </c>
      <c r="U329" s="299">
        <f>($T329)/$D$314</f>
        <v>0</v>
      </c>
      <c r="V329" s="204" t="s">
        <v>45</v>
      </c>
      <c r="W329" s="103"/>
    </row>
    <row r="330" spans="1:23" ht="16.5" thickBot="1" x14ac:dyDescent="0.3">
      <c r="A330" s="96"/>
      <c r="B330" s="97"/>
      <c r="C330" s="97"/>
      <c r="D330" s="97"/>
      <c r="E330" s="104"/>
      <c r="F330" s="104"/>
      <c r="G330" s="109"/>
      <c r="H330" s="186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252"/>
      <c r="T330" s="248">
        <f t="shared" si="38"/>
        <v>0</v>
      </c>
      <c r="U330" s="245">
        <f>($T330)/$D$314</f>
        <v>0</v>
      </c>
      <c r="V330" s="205" t="s">
        <v>164</v>
      </c>
      <c r="W330" s="212"/>
    </row>
    <row r="331" spans="1:23" ht="15.75" x14ac:dyDescent="0.25">
      <c r="A331" s="96"/>
      <c r="B331" s="97"/>
      <c r="C331" s="97"/>
      <c r="D331" s="97"/>
      <c r="E331" s="104"/>
      <c r="F331" s="104"/>
      <c r="G331" s="98"/>
      <c r="H331" s="90"/>
      <c r="I331" s="111">
        <v>7</v>
      </c>
      <c r="J331" s="111">
        <v>1</v>
      </c>
      <c r="K331" s="111"/>
      <c r="L331" s="111"/>
      <c r="M331" s="111"/>
      <c r="N331" s="111"/>
      <c r="O331" s="111"/>
      <c r="P331" s="111"/>
      <c r="Q331" s="111"/>
      <c r="R331" s="111"/>
      <c r="S331" s="253"/>
      <c r="T331" s="249">
        <f t="shared" si="38"/>
        <v>1</v>
      </c>
      <c r="U331" s="183">
        <f>($T331)/$D$314</f>
        <v>4.6641791044776119E-4</v>
      </c>
      <c r="V331" s="206" t="s">
        <v>10</v>
      </c>
      <c r="W331" s="106"/>
    </row>
    <row r="332" spans="1:23" ht="15.75" x14ac:dyDescent="0.25">
      <c r="A332" s="96"/>
      <c r="B332" s="97"/>
      <c r="C332" s="97"/>
      <c r="D332" s="97"/>
      <c r="E332" s="104"/>
      <c r="F332" s="104"/>
      <c r="G332" s="98"/>
      <c r="H332" s="99"/>
      <c r="I332" s="213"/>
      <c r="J332" s="63"/>
      <c r="K332" s="63"/>
      <c r="L332" s="63"/>
      <c r="M332" s="63"/>
      <c r="N332" s="63"/>
      <c r="O332" s="63"/>
      <c r="P332" s="63"/>
      <c r="Q332" s="63"/>
      <c r="R332" s="63"/>
      <c r="S332" s="251"/>
      <c r="T332" s="247">
        <f t="shared" si="38"/>
        <v>0</v>
      </c>
      <c r="U332" s="93">
        <f>($T332)/$D$314</f>
        <v>0</v>
      </c>
      <c r="V332" s="331" t="s">
        <v>94</v>
      </c>
      <c r="W332" s="106"/>
    </row>
    <row r="333" spans="1:23" ht="15.75" x14ac:dyDescent="0.25">
      <c r="A333" s="96"/>
      <c r="B333" s="97"/>
      <c r="C333" s="97"/>
      <c r="D333" s="97"/>
      <c r="E333" s="104"/>
      <c r="F333" s="104"/>
      <c r="G333" s="98"/>
      <c r="H333" s="99"/>
      <c r="I333" s="214">
        <v>3</v>
      </c>
      <c r="J333" s="63">
        <v>2</v>
      </c>
      <c r="K333" s="63"/>
      <c r="L333" s="63"/>
      <c r="M333" s="63"/>
      <c r="N333" s="63"/>
      <c r="O333" s="63"/>
      <c r="P333" s="63"/>
      <c r="Q333" s="63"/>
      <c r="R333" s="63"/>
      <c r="S333" s="251">
        <v>2</v>
      </c>
      <c r="T333" s="247">
        <f t="shared" si="38"/>
        <v>4</v>
      </c>
      <c r="U333" s="93">
        <f t="shared" ref="U333:U342" si="40">($T333)/$D$314</f>
        <v>1.8656716417910447E-3</v>
      </c>
      <c r="V333" s="203" t="s">
        <v>3</v>
      </c>
      <c r="W333" s="105"/>
    </row>
    <row r="334" spans="1:23" ht="15.75" x14ac:dyDescent="0.25">
      <c r="A334" s="96"/>
      <c r="B334" s="97"/>
      <c r="C334" s="97"/>
      <c r="D334" s="97"/>
      <c r="E334" s="97"/>
      <c r="F334" s="104"/>
      <c r="G334" s="98"/>
      <c r="H334" s="99"/>
      <c r="I334" s="214">
        <v>39</v>
      </c>
      <c r="J334" s="63"/>
      <c r="K334" s="63"/>
      <c r="L334" s="63"/>
      <c r="M334" s="63"/>
      <c r="N334" s="63"/>
      <c r="O334" s="63"/>
      <c r="P334" s="63"/>
      <c r="Q334" s="63"/>
      <c r="R334" s="63"/>
      <c r="S334" s="251"/>
      <c r="T334" s="247">
        <f t="shared" si="38"/>
        <v>0</v>
      </c>
      <c r="U334" s="93">
        <f t="shared" si="40"/>
        <v>0</v>
      </c>
      <c r="V334" s="203" t="s">
        <v>7</v>
      </c>
      <c r="W334" s="106"/>
    </row>
    <row r="335" spans="1:23" ht="15.75" x14ac:dyDescent="0.25">
      <c r="A335" s="96"/>
      <c r="B335" s="97"/>
      <c r="C335" s="97"/>
      <c r="D335" s="97"/>
      <c r="E335" s="97"/>
      <c r="F335" s="104"/>
      <c r="G335" s="98"/>
      <c r="H335" s="99"/>
      <c r="I335" s="214">
        <v>25</v>
      </c>
      <c r="J335" s="63">
        <v>7</v>
      </c>
      <c r="K335" s="63"/>
      <c r="L335" s="63"/>
      <c r="M335" s="63"/>
      <c r="N335" s="63"/>
      <c r="O335" s="63"/>
      <c r="P335" s="63"/>
      <c r="Q335" s="63"/>
      <c r="R335" s="63"/>
      <c r="S335" s="251"/>
      <c r="T335" s="247">
        <f t="shared" si="38"/>
        <v>7</v>
      </c>
      <c r="U335" s="93">
        <f t="shared" si="40"/>
        <v>3.2649253731343282E-3</v>
      </c>
      <c r="V335" s="203" t="s">
        <v>8</v>
      </c>
      <c r="W335" s="354"/>
    </row>
    <row r="336" spans="1:23" ht="15.75" x14ac:dyDescent="0.25">
      <c r="A336" s="96"/>
      <c r="B336" s="97"/>
      <c r="C336" s="97"/>
      <c r="D336" s="97"/>
      <c r="E336" s="97"/>
      <c r="F336" s="104"/>
      <c r="G336" s="98"/>
      <c r="H336" s="99"/>
      <c r="I336" s="214"/>
      <c r="J336" s="63"/>
      <c r="K336" s="63"/>
      <c r="L336" s="63"/>
      <c r="M336" s="63"/>
      <c r="N336" s="63"/>
      <c r="O336" s="63"/>
      <c r="P336" s="63"/>
      <c r="Q336" s="63"/>
      <c r="R336" s="63"/>
      <c r="S336" s="251"/>
      <c r="T336" s="247">
        <f t="shared" si="38"/>
        <v>0</v>
      </c>
      <c r="U336" s="93">
        <f t="shared" si="40"/>
        <v>0</v>
      </c>
      <c r="V336" s="203" t="s">
        <v>77</v>
      </c>
      <c r="W336" s="354" t="s">
        <v>323</v>
      </c>
    </row>
    <row r="337" spans="1:23" ht="15.75" x14ac:dyDescent="0.25">
      <c r="A337" s="96"/>
      <c r="B337" s="97"/>
      <c r="C337" s="97"/>
      <c r="D337" s="97"/>
      <c r="E337" s="97"/>
      <c r="F337" s="104"/>
      <c r="G337" s="98"/>
      <c r="H337" s="99"/>
      <c r="I337" s="214">
        <v>2</v>
      </c>
      <c r="J337" s="63"/>
      <c r="K337" s="63"/>
      <c r="L337" s="63"/>
      <c r="M337" s="63"/>
      <c r="N337" s="63"/>
      <c r="O337" s="63"/>
      <c r="P337" s="63"/>
      <c r="Q337" s="63"/>
      <c r="R337" s="63"/>
      <c r="S337" s="251"/>
      <c r="T337" s="247">
        <f t="shared" si="38"/>
        <v>0</v>
      </c>
      <c r="U337" s="93">
        <f t="shared" si="40"/>
        <v>0</v>
      </c>
      <c r="V337" s="203" t="s">
        <v>19</v>
      </c>
      <c r="W337" s="354" t="s">
        <v>340</v>
      </c>
    </row>
    <row r="338" spans="1:23" ht="15.75" x14ac:dyDescent="0.25">
      <c r="A338" s="96"/>
      <c r="B338" s="97"/>
      <c r="C338" s="97"/>
      <c r="D338" s="97"/>
      <c r="E338" s="97"/>
      <c r="F338" s="104"/>
      <c r="G338" s="98"/>
      <c r="H338" s="99"/>
      <c r="I338" s="214"/>
      <c r="J338" s="63"/>
      <c r="K338" s="63"/>
      <c r="L338" s="63"/>
      <c r="M338" s="63"/>
      <c r="N338" s="63"/>
      <c r="O338" s="63"/>
      <c r="P338" s="63"/>
      <c r="Q338" s="63"/>
      <c r="R338" s="63"/>
      <c r="S338" s="251"/>
      <c r="T338" s="247">
        <f t="shared" si="38"/>
        <v>0</v>
      </c>
      <c r="U338" s="93">
        <f t="shared" si="40"/>
        <v>0</v>
      </c>
      <c r="V338" s="203" t="s">
        <v>78</v>
      </c>
      <c r="W338" s="354"/>
    </row>
    <row r="339" spans="1:23" ht="15.75" x14ac:dyDescent="0.25">
      <c r="A339" s="96"/>
      <c r="B339" s="97"/>
      <c r="C339" s="97"/>
      <c r="D339" s="97"/>
      <c r="E339" s="97"/>
      <c r="F339" s="104"/>
      <c r="G339" s="98"/>
      <c r="H339" s="99"/>
      <c r="I339" s="214"/>
      <c r="J339" s="63"/>
      <c r="K339" s="63"/>
      <c r="L339" s="63"/>
      <c r="M339" s="63"/>
      <c r="N339" s="63"/>
      <c r="O339" s="63"/>
      <c r="P339" s="63"/>
      <c r="Q339" s="63"/>
      <c r="R339" s="63"/>
      <c r="S339" s="251"/>
      <c r="T339" s="247">
        <f t="shared" si="38"/>
        <v>0</v>
      </c>
      <c r="U339" s="93">
        <f t="shared" si="40"/>
        <v>0</v>
      </c>
      <c r="V339" s="332" t="s">
        <v>170</v>
      </c>
      <c r="W339" s="354"/>
    </row>
    <row r="340" spans="1:23" ht="15.75" x14ac:dyDescent="0.25">
      <c r="A340" s="96"/>
      <c r="B340" s="97"/>
      <c r="C340" s="97"/>
      <c r="D340" s="97"/>
      <c r="E340" s="104"/>
      <c r="F340" s="104"/>
      <c r="G340" s="98"/>
      <c r="H340" s="99"/>
      <c r="I340" s="214">
        <v>25</v>
      </c>
      <c r="J340" s="63">
        <v>1</v>
      </c>
      <c r="K340" s="63"/>
      <c r="L340" s="63"/>
      <c r="M340" s="63"/>
      <c r="N340" s="63"/>
      <c r="O340" s="63"/>
      <c r="P340" s="63"/>
      <c r="Q340" s="63"/>
      <c r="R340" s="63"/>
      <c r="S340" s="251"/>
      <c r="T340" s="247">
        <f t="shared" si="38"/>
        <v>1</v>
      </c>
      <c r="U340" s="93">
        <f t="shared" si="40"/>
        <v>4.6641791044776119E-4</v>
      </c>
      <c r="V340" s="203" t="s">
        <v>12</v>
      </c>
      <c r="W340" s="326"/>
    </row>
    <row r="341" spans="1:23" ht="15.75" x14ac:dyDescent="0.25">
      <c r="A341" s="96"/>
      <c r="B341" s="97"/>
      <c r="C341" s="97"/>
      <c r="D341" s="97"/>
      <c r="E341" s="104"/>
      <c r="F341" s="104"/>
      <c r="G341" s="98"/>
      <c r="H341" s="99"/>
      <c r="I341" s="63">
        <v>9</v>
      </c>
      <c r="J341" s="63"/>
      <c r="K341" s="63"/>
      <c r="L341" s="63"/>
      <c r="M341" s="63"/>
      <c r="N341" s="63"/>
      <c r="O341" s="63"/>
      <c r="P341" s="63"/>
      <c r="Q341" s="63"/>
      <c r="R341" s="63">
        <v>2</v>
      </c>
      <c r="S341" s="251"/>
      <c r="T341" s="247">
        <f t="shared" si="38"/>
        <v>2</v>
      </c>
      <c r="U341" s="93">
        <f t="shared" si="40"/>
        <v>9.3283582089552237E-4</v>
      </c>
      <c r="V341" s="204" t="s">
        <v>164</v>
      </c>
      <c r="W341" s="354"/>
    </row>
    <row r="342" spans="1:23" ht="15.75" x14ac:dyDescent="0.25">
      <c r="A342" s="96"/>
      <c r="B342" s="97"/>
      <c r="C342" s="97"/>
      <c r="D342" s="97"/>
      <c r="E342" s="104"/>
      <c r="F342" s="104"/>
      <c r="G342" s="98"/>
      <c r="H342" s="99"/>
      <c r="I342" s="63"/>
      <c r="J342" s="63">
        <v>1</v>
      </c>
      <c r="K342" s="63"/>
      <c r="L342" s="63"/>
      <c r="M342" s="63"/>
      <c r="N342" s="63"/>
      <c r="O342" s="63"/>
      <c r="P342" s="63"/>
      <c r="Q342" s="63"/>
      <c r="R342" s="63"/>
      <c r="S342" s="251"/>
      <c r="T342" s="247">
        <f t="shared" si="38"/>
        <v>1</v>
      </c>
      <c r="U342" s="93">
        <f t="shared" si="40"/>
        <v>4.6641791044776119E-4</v>
      </c>
      <c r="V342" s="204" t="s">
        <v>318</v>
      </c>
      <c r="W342" s="326"/>
    </row>
    <row r="343" spans="1:23" ht="16.5" thickBot="1" x14ac:dyDescent="0.3">
      <c r="A343" s="96"/>
      <c r="B343" s="97"/>
      <c r="C343" s="97"/>
      <c r="D343" s="97"/>
      <c r="E343" s="104"/>
      <c r="F343" s="104"/>
      <c r="G343" s="98"/>
      <c r="H343" s="107"/>
      <c r="I343" s="100">
        <v>5</v>
      </c>
      <c r="J343" s="100"/>
      <c r="K343" s="100"/>
      <c r="L343" s="100"/>
      <c r="M343" s="100"/>
      <c r="N343" s="100"/>
      <c r="O343" s="100"/>
      <c r="P343" s="100"/>
      <c r="Q343" s="100"/>
      <c r="R343" s="100"/>
      <c r="S343" s="254"/>
      <c r="T343" s="248">
        <f t="shared" si="38"/>
        <v>0</v>
      </c>
      <c r="U343" s="299">
        <f>($T343)/$D$314</f>
        <v>0</v>
      </c>
      <c r="V343" s="357" t="s">
        <v>94</v>
      </c>
      <c r="W343" s="326"/>
    </row>
    <row r="344" spans="1:23" ht="16.5" thickBot="1" x14ac:dyDescent="0.3">
      <c r="A344" s="96"/>
      <c r="B344" s="97"/>
      <c r="C344" s="97"/>
      <c r="D344" s="97"/>
      <c r="E344" s="104"/>
      <c r="F344" s="104"/>
      <c r="G344" s="98"/>
      <c r="H344" s="430"/>
      <c r="I344" s="431"/>
      <c r="J344" s="432"/>
      <c r="K344" s="431"/>
      <c r="L344" s="431"/>
      <c r="M344" s="431"/>
      <c r="N344" s="431"/>
      <c r="O344" s="431"/>
      <c r="P344" s="431"/>
      <c r="Q344" s="431"/>
      <c r="R344" s="431"/>
      <c r="S344" s="431"/>
      <c r="T344" s="433"/>
      <c r="U344" s="433"/>
      <c r="V344" s="441" t="s">
        <v>267</v>
      </c>
      <c r="W344" s="354" t="s">
        <v>319</v>
      </c>
    </row>
    <row r="345" spans="1:23" ht="15.75" x14ac:dyDescent="0.25">
      <c r="A345" s="96"/>
      <c r="B345" s="97"/>
      <c r="C345" s="97"/>
      <c r="D345" s="97"/>
      <c r="E345" s="104"/>
      <c r="F345" s="104"/>
      <c r="G345" s="109"/>
      <c r="H345" s="90">
        <v>2</v>
      </c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250"/>
      <c r="T345" s="249">
        <f t="shared" ref="T345:T354" si="41">SUM(H345,J345,L345,N345,P345,R345,S345)</f>
        <v>2</v>
      </c>
      <c r="U345" s="183">
        <f>($T345)/$D$314</f>
        <v>9.3283582089552237E-4</v>
      </c>
      <c r="V345" s="202" t="s">
        <v>164</v>
      </c>
      <c r="W345" s="354" t="s">
        <v>320</v>
      </c>
    </row>
    <row r="346" spans="1:23" ht="15.75" x14ac:dyDescent="0.25">
      <c r="A346" s="96"/>
      <c r="B346" s="97"/>
      <c r="C346" s="97"/>
      <c r="D346" s="97"/>
      <c r="E346" s="104"/>
      <c r="F346" s="104"/>
      <c r="G346" s="109"/>
      <c r="H346" s="99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251"/>
      <c r="T346" s="247">
        <f t="shared" si="41"/>
        <v>0</v>
      </c>
      <c r="U346" s="183">
        <f>($T346)/$D$314</f>
        <v>0</v>
      </c>
      <c r="V346" s="203" t="s">
        <v>83</v>
      </c>
      <c r="W346" s="354" t="s">
        <v>321</v>
      </c>
    </row>
    <row r="347" spans="1:23" x14ac:dyDescent="0.25">
      <c r="A347" s="96"/>
      <c r="B347" s="97"/>
      <c r="C347" s="97"/>
      <c r="D347" s="97"/>
      <c r="E347" s="104"/>
      <c r="F347" s="104"/>
      <c r="G347" s="109"/>
      <c r="H347" s="99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251"/>
      <c r="T347" s="247">
        <f t="shared" si="41"/>
        <v>0</v>
      </c>
      <c r="U347" s="183">
        <f t="shared" ref="U347:U353" si="42">($T347)/$D$314</f>
        <v>0</v>
      </c>
      <c r="V347" s="355" t="s">
        <v>11</v>
      </c>
      <c r="W347" s="326" t="s">
        <v>324</v>
      </c>
    </row>
    <row r="348" spans="1:23" ht="15.75" x14ac:dyDescent="0.25">
      <c r="A348" s="96"/>
      <c r="B348" s="97"/>
      <c r="C348" s="97"/>
      <c r="D348" s="97"/>
      <c r="E348" s="104"/>
      <c r="F348" s="104"/>
      <c r="G348" s="109"/>
      <c r="H348" s="99">
        <v>2</v>
      </c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251"/>
      <c r="T348" s="247">
        <f t="shared" si="41"/>
        <v>2</v>
      </c>
      <c r="U348" s="183">
        <f t="shared" si="42"/>
        <v>9.3283582089552237E-4</v>
      </c>
      <c r="V348" s="203" t="s">
        <v>12</v>
      </c>
      <c r="W348" s="326" t="s">
        <v>322</v>
      </c>
    </row>
    <row r="349" spans="1:23" ht="15.75" x14ac:dyDescent="0.25">
      <c r="A349" s="96"/>
      <c r="B349" s="97"/>
      <c r="C349" s="97"/>
      <c r="D349" s="97"/>
      <c r="E349" s="104"/>
      <c r="F349" s="104"/>
      <c r="G349" s="109"/>
      <c r="H349" s="99">
        <v>2</v>
      </c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251"/>
      <c r="T349" s="247">
        <f t="shared" si="41"/>
        <v>2</v>
      </c>
      <c r="U349" s="183">
        <f t="shared" si="42"/>
        <v>9.3283582089552237E-4</v>
      </c>
      <c r="V349" s="204" t="s">
        <v>85</v>
      </c>
      <c r="W349" s="326" t="s">
        <v>325</v>
      </c>
    </row>
    <row r="350" spans="1:23" ht="15.75" x14ac:dyDescent="0.25">
      <c r="A350" s="96"/>
      <c r="B350" s="97"/>
      <c r="C350" s="97"/>
      <c r="D350" s="97"/>
      <c r="E350" s="104"/>
      <c r="F350" s="104"/>
      <c r="G350" s="109"/>
      <c r="H350" s="458">
        <v>15</v>
      </c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251"/>
      <c r="T350" s="247">
        <f t="shared" si="41"/>
        <v>15</v>
      </c>
      <c r="U350" s="183">
        <f t="shared" si="42"/>
        <v>6.9962686567164182E-3</v>
      </c>
      <c r="V350" s="204" t="s">
        <v>26</v>
      </c>
      <c r="W350" s="326" t="s">
        <v>339</v>
      </c>
    </row>
    <row r="351" spans="1:23" ht="15.75" x14ac:dyDescent="0.25">
      <c r="A351" s="96"/>
      <c r="B351" s="97"/>
      <c r="C351" s="97"/>
      <c r="D351" s="97"/>
      <c r="E351" s="104"/>
      <c r="F351" s="104"/>
      <c r="G351" s="109"/>
      <c r="H351" s="107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254"/>
      <c r="T351" s="247">
        <f t="shared" si="41"/>
        <v>0</v>
      </c>
      <c r="U351" s="183">
        <f t="shared" si="42"/>
        <v>0</v>
      </c>
      <c r="V351" s="207" t="s">
        <v>35</v>
      </c>
      <c r="W351" s="78"/>
    </row>
    <row r="352" spans="1:23" ht="15.75" x14ac:dyDescent="0.25">
      <c r="A352" s="96"/>
      <c r="B352" s="97"/>
      <c r="C352" s="97"/>
      <c r="D352" s="97"/>
      <c r="E352" s="104"/>
      <c r="F352" s="104"/>
      <c r="G352" s="109"/>
      <c r="H352" s="107">
        <v>1</v>
      </c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254"/>
      <c r="T352" s="247">
        <f t="shared" si="41"/>
        <v>1</v>
      </c>
      <c r="U352" s="183">
        <f t="shared" si="42"/>
        <v>4.6641791044776119E-4</v>
      </c>
      <c r="V352" s="207" t="s">
        <v>286</v>
      </c>
      <c r="W352" s="429"/>
    </row>
    <row r="353" spans="1:23" ht="15.75" x14ac:dyDescent="0.25">
      <c r="A353" s="96"/>
      <c r="B353" s="97"/>
      <c r="C353" s="97"/>
      <c r="D353" s="97"/>
      <c r="E353" s="104"/>
      <c r="F353" s="104"/>
      <c r="G353" s="109"/>
      <c r="H353" s="457">
        <v>62</v>
      </c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254"/>
      <c r="T353" s="247">
        <f t="shared" si="41"/>
        <v>62</v>
      </c>
      <c r="U353" s="183">
        <f t="shared" si="42"/>
        <v>2.8917910447761194E-2</v>
      </c>
      <c r="V353" s="203" t="s">
        <v>148</v>
      </c>
      <c r="W353" s="326"/>
    </row>
    <row r="354" spans="1:23" ht="16.5" thickBot="1" x14ac:dyDescent="0.3">
      <c r="A354" s="117"/>
      <c r="B354" s="118"/>
      <c r="C354" s="118"/>
      <c r="D354" s="118"/>
      <c r="E354" s="119"/>
      <c r="F354" s="119"/>
      <c r="G354" s="120"/>
      <c r="H354" s="107">
        <v>1</v>
      </c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254"/>
      <c r="T354" s="247">
        <f t="shared" si="41"/>
        <v>1</v>
      </c>
      <c r="U354" s="299">
        <f>($T354)/$D$314</f>
        <v>4.6641791044776119E-4</v>
      </c>
      <c r="V354" s="205" t="s">
        <v>310</v>
      </c>
      <c r="W354" s="352"/>
    </row>
    <row r="355" spans="1:23" ht="15.75" thickBot="1" x14ac:dyDescent="0.3">
      <c r="A355" s="122"/>
      <c r="B355" s="122"/>
      <c r="C355" s="122"/>
      <c r="D355" s="122"/>
      <c r="E355" s="122"/>
      <c r="F355" s="122"/>
      <c r="G355" s="47" t="s">
        <v>4</v>
      </c>
      <c r="H355" s="123">
        <f t="shared" ref="H355:S355" si="43">SUM(H315:H354)</f>
        <v>224</v>
      </c>
      <c r="I355" s="123">
        <f t="shared" si="43"/>
        <v>115</v>
      </c>
      <c r="J355" s="123">
        <f t="shared" si="43"/>
        <v>40</v>
      </c>
      <c r="K355" s="123">
        <f t="shared" si="43"/>
        <v>0</v>
      </c>
      <c r="L355" s="123">
        <f t="shared" si="43"/>
        <v>0</v>
      </c>
      <c r="M355" s="123">
        <f t="shared" si="43"/>
        <v>0</v>
      </c>
      <c r="N355" s="123">
        <f t="shared" si="43"/>
        <v>0</v>
      </c>
      <c r="O355" s="123">
        <f t="shared" si="43"/>
        <v>0</v>
      </c>
      <c r="P355" s="123">
        <f t="shared" si="43"/>
        <v>0</v>
      </c>
      <c r="Q355" s="123">
        <f t="shared" si="43"/>
        <v>0</v>
      </c>
      <c r="R355" s="123">
        <f t="shared" si="43"/>
        <v>3</v>
      </c>
      <c r="S355" s="123">
        <f t="shared" si="43"/>
        <v>23</v>
      </c>
      <c r="T355" s="198">
        <f>SUM(H355,J355,L355,N355,P355,R355,S355)</f>
        <v>290</v>
      </c>
      <c r="U355" s="333">
        <f>($T355)/$D$314</f>
        <v>0.13526119402985073</v>
      </c>
      <c r="V355" s="40"/>
    </row>
    <row r="357" spans="1:23" ht="15.75" thickBot="1" x14ac:dyDescent="0.3"/>
    <row r="358" spans="1:23" ht="75.75" thickBot="1" x14ac:dyDescent="0.3">
      <c r="A358" s="42" t="s">
        <v>22</v>
      </c>
      <c r="B358" s="42" t="s">
        <v>47</v>
      </c>
      <c r="C358" s="43" t="s">
        <v>52</v>
      </c>
      <c r="D358" s="43" t="s">
        <v>17</v>
      </c>
      <c r="E358" s="42" t="s">
        <v>16</v>
      </c>
      <c r="F358" s="44" t="s">
        <v>1</v>
      </c>
      <c r="G358" s="45" t="s">
        <v>23</v>
      </c>
      <c r="H358" s="46" t="s">
        <v>72</v>
      </c>
      <c r="I358" s="46" t="s">
        <v>73</v>
      </c>
      <c r="J358" s="46" t="s">
        <v>53</v>
      </c>
      <c r="K358" s="46" t="s">
        <v>58</v>
      </c>
      <c r="L358" s="46" t="s">
        <v>54</v>
      </c>
      <c r="M358" s="46" t="s">
        <v>59</v>
      </c>
      <c r="N358" s="46" t="s">
        <v>55</v>
      </c>
      <c r="O358" s="46" t="s">
        <v>60</v>
      </c>
      <c r="P358" s="46" t="s">
        <v>56</v>
      </c>
      <c r="Q358" s="46" t="s">
        <v>74</v>
      </c>
      <c r="R358" s="46" t="s">
        <v>115</v>
      </c>
      <c r="S358" s="46" t="s">
        <v>41</v>
      </c>
      <c r="T358" s="46" t="s">
        <v>4</v>
      </c>
      <c r="U358" s="42" t="s">
        <v>2</v>
      </c>
      <c r="V358" s="80" t="s">
        <v>20</v>
      </c>
      <c r="W358" s="81" t="s">
        <v>6</v>
      </c>
    </row>
    <row r="359" spans="1:23" ht="15.75" thickBot="1" x14ac:dyDescent="0.3">
      <c r="A359" s="316">
        <v>1514189</v>
      </c>
      <c r="B359" s="209" t="s">
        <v>110</v>
      </c>
      <c r="C359" s="316">
        <v>1920</v>
      </c>
      <c r="D359" s="316">
        <v>2193</v>
      </c>
      <c r="E359" s="321">
        <v>1842</v>
      </c>
      <c r="F359" s="322">
        <f>E359/D359</f>
        <v>0.83994528043775651</v>
      </c>
      <c r="G359" s="48">
        <v>45334</v>
      </c>
      <c r="H359" s="82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4"/>
      <c r="T359" s="296"/>
      <c r="U359" s="115"/>
      <c r="V359" s="86" t="s">
        <v>75</v>
      </c>
      <c r="W359" s="353" t="s">
        <v>70</v>
      </c>
    </row>
    <row r="360" spans="1:23" ht="15.75" x14ac:dyDescent="0.25">
      <c r="A360" s="87"/>
      <c r="B360" s="88"/>
      <c r="C360" s="88"/>
      <c r="D360" s="88"/>
      <c r="E360" s="88"/>
      <c r="F360" s="88"/>
      <c r="G360" s="89"/>
      <c r="H360" s="90">
        <v>19</v>
      </c>
      <c r="I360" s="91"/>
      <c r="J360" s="91">
        <v>2</v>
      </c>
      <c r="K360" s="91"/>
      <c r="L360" s="91"/>
      <c r="M360" s="91"/>
      <c r="N360" s="91"/>
      <c r="O360" s="91"/>
      <c r="P360" s="91"/>
      <c r="Q360" s="91"/>
      <c r="R360" s="91"/>
      <c r="S360" s="250">
        <v>9</v>
      </c>
      <c r="T360" s="249">
        <f>SUM(H360,J360,L360,N360,P360,R360,S360)</f>
        <v>30</v>
      </c>
      <c r="U360" s="349">
        <f>($T360)/$D$359</f>
        <v>1.3679890560875513E-2</v>
      </c>
      <c r="V360" s="202" t="s">
        <v>15</v>
      </c>
      <c r="W360" s="210" t="s">
        <v>120</v>
      </c>
    </row>
    <row r="361" spans="1:23" ht="15.75" x14ac:dyDescent="0.25">
      <c r="A361" s="96"/>
      <c r="B361" s="97"/>
      <c r="C361" s="97"/>
      <c r="D361" s="97"/>
      <c r="E361" s="97"/>
      <c r="F361" s="97"/>
      <c r="G361" s="98"/>
      <c r="H361" s="348">
        <v>2</v>
      </c>
      <c r="I361" s="111"/>
      <c r="J361" s="111"/>
      <c r="K361" s="111"/>
      <c r="L361" s="111"/>
      <c r="M361" s="111"/>
      <c r="N361" s="111"/>
      <c r="O361" s="111"/>
      <c r="P361" s="111"/>
      <c r="Q361" s="111"/>
      <c r="R361" s="111"/>
      <c r="S361" s="253"/>
      <c r="T361" s="249">
        <f>SUM(H361,J361,L361,N361,P361,R361,S361)</f>
        <v>2</v>
      </c>
      <c r="U361" s="299">
        <f>($T361)/$D$359</f>
        <v>9.1199270405836752E-4</v>
      </c>
      <c r="V361" s="206" t="s">
        <v>43</v>
      </c>
      <c r="W361" s="210" t="s">
        <v>317</v>
      </c>
    </row>
    <row r="362" spans="1:23" ht="15.75" x14ac:dyDescent="0.25">
      <c r="A362" s="96"/>
      <c r="B362" s="97"/>
      <c r="C362" s="97"/>
      <c r="D362" s="97"/>
      <c r="E362" s="97"/>
      <c r="F362" s="97"/>
      <c r="G362" s="98"/>
      <c r="H362" s="99">
        <v>28</v>
      </c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251"/>
      <c r="T362" s="247">
        <f t="shared" ref="T362:T388" si="44">SUM(H362,J362,L362,N362,P362,R362,S362)</f>
        <v>28</v>
      </c>
      <c r="U362" s="299">
        <f t="shared" ref="U362:U374" si="45">($T362)/$D$359</f>
        <v>1.2767897856817145E-2</v>
      </c>
      <c r="V362" s="203" t="s">
        <v>5</v>
      </c>
      <c r="W362" s="210" t="s">
        <v>333</v>
      </c>
    </row>
    <row r="363" spans="1:23" ht="15.75" x14ac:dyDescent="0.25">
      <c r="A363" s="96"/>
      <c r="B363" s="97"/>
      <c r="C363" s="97"/>
      <c r="D363" s="97"/>
      <c r="E363" s="104"/>
      <c r="F363" s="104"/>
      <c r="G363" s="98"/>
      <c r="H363" s="99">
        <v>40</v>
      </c>
      <c r="I363" s="63"/>
      <c r="J363" s="63">
        <v>3</v>
      </c>
      <c r="K363" s="63"/>
      <c r="L363" s="63"/>
      <c r="M363" s="63"/>
      <c r="N363" s="63"/>
      <c r="O363" s="63"/>
      <c r="P363" s="63"/>
      <c r="Q363" s="63"/>
      <c r="R363" s="63"/>
      <c r="S363" s="251">
        <v>1</v>
      </c>
      <c r="T363" s="247">
        <f t="shared" si="44"/>
        <v>44</v>
      </c>
      <c r="U363" s="299">
        <f t="shared" si="45"/>
        <v>2.0063839489284085E-2</v>
      </c>
      <c r="V363" s="203" t="s">
        <v>13</v>
      </c>
      <c r="W363" s="244"/>
    </row>
    <row r="364" spans="1:23" ht="15.75" x14ac:dyDescent="0.25">
      <c r="A364" s="96"/>
      <c r="B364" s="97"/>
      <c r="C364" s="97"/>
      <c r="D364" s="97"/>
      <c r="E364" s="104"/>
      <c r="F364" s="104"/>
      <c r="G364" s="98"/>
      <c r="H364" s="99">
        <v>1</v>
      </c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251"/>
      <c r="T364" s="247">
        <f t="shared" si="44"/>
        <v>1</v>
      </c>
      <c r="U364" s="299">
        <f t="shared" si="45"/>
        <v>4.5599635202918376E-4</v>
      </c>
      <c r="V364" s="203" t="s">
        <v>14</v>
      </c>
      <c r="W364" s="311"/>
    </row>
    <row r="365" spans="1:23" ht="15.75" x14ac:dyDescent="0.25">
      <c r="A365" s="96"/>
      <c r="B365" s="97"/>
      <c r="C365" s="97"/>
      <c r="D365" s="97"/>
      <c r="E365" s="104"/>
      <c r="F365" s="104"/>
      <c r="G365" s="98"/>
      <c r="H365" s="99">
        <v>5</v>
      </c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251"/>
      <c r="T365" s="247">
        <f t="shared" si="44"/>
        <v>5</v>
      </c>
      <c r="U365" s="299">
        <f t="shared" si="45"/>
        <v>2.2799817601459188E-3</v>
      </c>
      <c r="V365" s="203" t="s">
        <v>30</v>
      </c>
      <c r="W365" s="311"/>
    </row>
    <row r="366" spans="1:23" ht="15.75" x14ac:dyDescent="0.25">
      <c r="A366" s="96"/>
      <c r="B366" s="97"/>
      <c r="C366" s="97"/>
      <c r="D366" s="97"/>
      <c r="E366" s="104"/>
      <c r="F366" s="104"/>
      <c r="G366" s="98"/>
      <c r="H366" s="99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251"/>
      <c r="T366" s="247">
        <f t="shared" si="44"/>
        <v>0</v>
      </c>
      <c r="U366" s="299">
        <f t="shared" si="45"/>
        <v>0</v>
      </c>
      <c r="V366" s="203" t="s">
        <v>31</v>
      </c>
      <c r="W366" s="105"/>
    </row>
    <row r="367" spans="1:23" ht="15.75" x14ac:dyDescent="0.25">
      <c r="A367" s="96"/>
      <c r="B367" s="97"/>
      <c r="C367" s="97"/>
      <c r="D367" s="97"/>
      <c r="E367" s="104"/>
      <c r="F367" s="104"/>
      <c r="G367" s="98"/>
      <c r="H367" s="99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251"/>
      <c r="T367" s="247">
        <f t="shared" si="44"/>
        <v>0</v>
      </c>
      <c r="U367" s="299">
        <f t="shared" si="45"/>
        <v>0</v>
      </c>
      <c r="V367" s="203" t="s">
        <v>168</v>
      </c>
      <c r="W367" s="323"/>
    </row>
    <row r="368" spans="1:23" ht="15.75" x14ac:dyDescent="0.25">
      <c r="A368" s="96"/>
      <c r="B368" s="97"/>
      <c r="C368" s="97"/>
      <c r="D368" s="97"/>
      <c r="E368" s="104"/>
      <c r="F368" s="104"/>
      <c r="G368" s="98"/>
      <c r="H368" s="99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251"/>
      <c r="T368" s="247">
        <f t="shared" si="44"/>
        <v>0</v>
      </c>
      <c r="U368" s="299">
        <f t="shared" si="45"/>
        <v>0</v>
      </c>
      <c r="V368" s="204" t="s">
        <v>202</v>
      </c>
      <c r="W368" s="105"/>
    </row>
    <row r="369" spans="1:23" ht="15.75" x14ac:dyDescent="0.25">
      <c r="A369" s="96"/>
      <c r="B369" s="97"/>
      <c r="C369" s="97"/>
      <c r="D369" s="97"/>
      <c r="E369" s="104"/>
      <c r="F369" s="104"/>
      <c r="G369" s="98"/>
      <c r="H369" s="99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251">
        <v>2</v>
      </c>
      <c r="T369" s="247">
        <f t="shared" si="44"/>
        <v>2</v>
      </c>
      <c r="U369" s="299">
        <f t="shared" si="45"/>
        <v>9.1199270405836752E-4</v>
      </c>
      <c r="V369" s="203" t="s">
        <v>0</v>
      </c>
      <c r="W369" s="354"/>
    </row>
    <row r="370" spans="1:23" ht="15.75" x14ac:dyDescent="0.25">
      <c r="A370" s="96"/>
      <c r="B370" s="97"/>
      <c r="C370" s="97"/>
      <c r="D370" s="97"/>
      <c r="E370" s="104"/>
      <c r="F370" s="104"/>
      <c r="G370" s="98"/>
      <c r="H370" s="99">
        <v>18</v>
      </c>
      <c r="I370" s="63"/>
      <c r="J370" s="63"/>
      <c r="K370" s="63"/>
      <c r="L370" s="63">
        <v>1</v>
      </c>
      <c r="M370" s="63"/>
      <c r="N370" s="63"/>
      <c r="O370" s="63"/>
      <c r="P370" s="63"/>
      <c r="Q370" s="63"/>
      <c r="R370" s="63"/>
      <c r="S370" s="251">
        <v>4</v>
      </c>
      <c r="T370" s="247">
        <f t="shared" si="44"/>
        <v>23</v>
      </c>
      <c r="U370" s="299">
        <f t="shared" si="45"/>
        <v>1.0487916096671226E-2</v>
      </c>
      <c r="V370" s="203" t="s">
        <v>11</v>
      </c>
      <c r="W370" s="354"/>
    </row>
    <row r="371" spans="1:23" ht="15.75" x14ac:dyDescent="0.25">
      <c r="A371" s="96"/>
      <c r="B371" s="97"/>
      <c r="C371" s="97"/>
      <c r="D371" s="97"/>
      <c r="E371" s="104"/>
      <c r="F371" s="104" t="s">
        <v>100</v>
      </c>
      <c r="G371" s="98"/>
      <c r="H371" s="99">
        <v>32</v>
      </c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251"/>
      <c r="T371" s="247">
        <f t="shared" si="44"/>
        <v>32</v>
      </c>
      <c r="U371" s="299">
        <f t="shared" si="45"/>
        <v>1.459188326493388E-2</v>
      </c>
      <c r="V371" s="203" t="s">
        <v>33</v>
      </c>
      <c r="W371" s="326"/>
    </row>
    <row r="372" spans="1:23" ht="15.75" x14ac:dyDescent="0.25">
      <c r="A372" s="96"/>
      <c r="B372" s="97"/>
      <c r="C372" s="97"/>
      <c r="D372" s="97"/>
      <c r="E372" s="104"/>
      <c r="F372" s="104"/>
      <c r="G372" s="98"/>
      <c r="H372" s="99"/>
      <c r="I372" s="63"/>
      <c r="J372" s="63"/>
      <c r="K372" s="63"/>
      <c r="L372" s="63">
        <v>3</v>
      </c>
      <c r="M372" s="63"/>
      <c r="N372" s="63"/>
      <c r="O372" s="63"/>
      <c r="P372" s="63"/>
      <c r="Q372" s="63"/>
      <c r="R372" s="63"/>
      <c r="S372" s="251"/>
      <c r="T372" s="247">
        <f t="shared" si="44"/>
        <v>3</v>
      </c>
      <c r="U372" s="299">
        <f t="shared" si="45"/>
        <v>1.3679890560875513E-3</v>
      </c>
      <c r="V372" s="204" t="s">
        <v>27</v>
      </c>
      <c r="W372" s="354"/>
    </row>
    <row r="373" spans="1:23" ht="15.75" x14ac:dyDescent="0.25">
      <c r="A373" s="96"/>
      <c r="B373" s="97"/>
      <c r="C373" s="97"/>
      <c r="D373" s="97"/>
      <c r="E373" s="104"/>
      <c r="F373" s="104"/>
      <c r="G373" s="109"/>
      <c r="H373" s="110">
        <v>5</v>
      </c>
      <c r="I373" s="63"/>
      <c r="J373" s="63"/>
      <c r="K373" s="63"/>
      <c r="L373" s="63">
        <v>1</v>
      </c>
      <c r="M373" s="63"/>
      <c r="N373" s="63"/>
      <c r="O373" s="63"/>
      <c r="P373" s="63"/>
      <c r="Q373" s="63"/>
      <c r="R373" s="63"/>
      <c r="S373" s="251">
        <v>1</v>
      </c>
      <c r="T373" s="247">
        <f t="shared" si="44"/>
        <v>7</v>
      </c>
      <c r="U373" s="299">
        <f t="shared" si="45"/>
        <v>3.1919744642042863E-3</v>
      </c>
      <c r="V373" s="204" t="s">
        <v>26</v>
      </c>
      <c r="W373" s="212"/>
    </row>
    <row r="374" spans="1:23" ht="15.75" x14ac:dyDescent="0.25">
      <c r="A374" s="96"/>
      <c r="B374" s="97"/>
      <c r="C374" s="97"/>
      <c r="D374" s="97"/>
      <c r="E374" s="104"/>
      <c r="F374" s="104"/>
      <c r="G374" s="109"/>
      <c r="H374" s="110">
        <v>1</v>
      </c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251"/>
      <c r="T374" s="247">
        <f t="shared" si="44"/>
        <v>1</v>
      </c>
      <c r="U374" s="299">
        <f t="shared" si="45"/>
        <v>4.5599635202918376E-4</v>
      </c>
      <c r="V374" s="204" t="s">
        <v>35</v>
      </c>
      <c r="W374" s="103"/>
    </row>
    <row r="375" spans="1:23" ht="16.5" thickBot="1" x14ac:dyDescent="0.3">
      <c r="A375" s="96"/>
      <c r="B375" s="97"/>
      <c r="C375" s="97"/>
      <c r="D375" s="97"/>
      <c r="E375" s="104"/>
      <c r="F375" s="104"/>
      <c r="G375" s="109"/>
      <c r="H375" s="186">
        <v>2</v>
      </c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252"/>
      <c r="T375" s="248">
        <f t="shared" si="44"/>
        <v>2</v>
      </c>
      <c r="U375" s="245">
        <f>($T375)/$D$359</f>
        <v>9.1199270405836752E-4</v>
      </c>
      <c r="V375" s="205" t="s">
        <v>148</v>
      </c>
      <c r="W375" s="212"/>
    </row>
    <row r="376" spans="1:23" ht="15.75" x14ac:dyDescent="0.25">
      <c r="A376" s="96"/>
      <c r="B376" s="97"/>
      <c r="C376" s="97"/>
      <c r="D376" s="97"/>
      <c r="E376" s="104"/>
      <c r="F376" s="104"/>
      <c r="G376" s="98"/>
      <c r="H376" s="90"/>
      <c r="I376" s="111">
        <v>1</v>
      </c>
      <c r="J376" s="111"/>
      <c r="K376" s="111"/>
      <c r="L376" s="111"/>
      <c r="M376" s="111"/>
      <c r="N376" s="111"/>
      <c r="O376" s="111"/>
      <c r="P376" s="111"/>
      <c r="Q376" s="111"/>
      <c r="R376" s="111"/>
      <c r="S376" s="253"/>
      <c r="T376" s="249">
        <f t="shared" si="44"/>
        <v>0</v>
      </c>
      <c r="U376" s="183">
        <f>($T376)/$D$359</f>
        <v>0</v>
      </c>
      <c r="V376" s="206" t="s">
        <v>10</v>
      </c>
      <c r="W376" s="106"/>
    </row>
    <row r="377" spans="1:23" ht="15.75" x14ac:dyDescent="0.25">
      <c r="A377" s="96"/>
      <c r="B377" s="97"/>
      <c r="C377" s="97"/>
      <c r="D377" s="97"/>
      <c r="E377" s="104"/>
      <c r="F377" s="104"/>
      <c r="G377" s="98"/>
      <c r="H377" s="99"/>
      <c r="I377" s="213">
        <v>2</v>
      </c>
      <c r="J377" s="63"/>
      <c r="K377" s="63"/>
      <c r="L377" s="63"/>
      <c r="M377" s="63"/>
      <c r="N377" s="63"/>
      <c r="O377" s="63"/>
      <c r="P377" s="63"/>
      <c r="Q377" s="63"/>
      <c r="R377" s="63"/>
      <c r="S377" s="251">
        <v>1</v>
      </c>
      <c r="T377" s="247">
        <f t="shared" si="44"/>
        <v>1</v>
      </c>
      <c r="U377" s="93">
        <f>($T377)/$D$359</f>
        <v>4.5599635202918376E-4</v>
      </c>
      <c r="V377" s="331" t="s">
        <v>94</v>
      </c>
      <c r="W377" s="106"/>
    </row>
    <row r="378" spans="1:23" ht="15.75" x14ac:dyDescent="0.25">
      <c r="A378" s="96"/>
      <c r="B378" s="97"/>
      <c r="C378" s="97"/>
      <c r="D378" s="97"/>
      <c r="E378" s="104"/>
      <c r="F378" s="104"/>
      <c r="G378" s="98"/>
      <c r="H378" s="99"/>
      <c r="I378" s="214">
        <v>2</v>
      </c>
      <c r="J378" s="63"/>
      <c r="K378" s="63"/>
      <c r="L378" s="63"/>
      <c r="M378" s="63"/>
      <c r="N378" s="63"/>
      <c r="O378" s="63"/>
      <c r="P378" s="63"/>
      <c r="Q378" s="63"/>
      <c r="R378" s="63"/>
      <c r="S378" s="251">
        <v>4</v>
      </c>
      <c r="T378" s="247">
        <f t="shared" si="44"/>
        <v>4</v>
      </c>
      <c r="U378" s="93">
        <f t="shared" ref="U378:U387" si="46">($T378)/$D$359</f>
        <v>1.823985408116735E-3</v>
      </c>
      <c r="V378" s="203" t="s">
        <v>3</v>
      </c>
      <c r="W378" s="105"/>
    </row>
    <row r="379" spans="1:23" ht="15.75" x14ac:dyDescent="0.25">
      <c r="A379" s="96"/>
      <c r="B379" s="97"/>
      <c r="C379" s="97"/>
      <c r="D379" s="97"/>
      <c r="E379" s="97"/>
      <c r="F379" s="104"/>
      <c r="G379" s="98"/>
      <c r="H379" s="99"/>
      <c r="I379" s="214">
        <v>6</v>
      </c>
      <c r="J379" s="63"/>
      <c r="K379" s="63"/>
      <c r="L379" s="63">
        <v>1</v>
      </c>
      <c r="M379" s="63"/>
      <c r="N379" s="63"/>
      <c r="O379" s="63"/>
      <c r="P379" s="63"/>
      <c r="Q379" s="63"/>
      <c r="R379" s="63"/>
      <c r="S379" s="251">
        <v>30</v>
      </c>
      <c r="T379" s="247">
        <f>SUM(H379,J379,L379,N379,P379,R379,S379)</f>
        <v>31</v>
      </c>
      <c r="U379" s="93">
        <f t="shared" si="46"/>
        <v>1.4135886912904697E-2</v>
      </c>
      <c r="V379" s="203" t="s">
        <v>7</v>
      </c>
      <c r="W379" s="106"/>
    </row>
    <row r="380" spans="1:23" ht="15.75" x14ac:dyDescent="0.25">
      <c r="A380" s="96"/>
      <c r="B380" s="97"/>
      <c r="C380" s="97"/>
      <c r="D380" s="97"/>
      <c r="E380" s="97"/>
      <c r="F380" s="104"/>
      <c r="G380" s="98"/>
      <c r="H380" s="99"/>
      <c r="I380" s="214">
        <v>57</v>
      </c>
      <c r="J380" s="63">
        <v>33</v>
      </c>
      <c r="K380" s="63">
        <v>61</v>
      </c>
      <c r="L380" s="63">
        <v>17</v>
      </c>
      <c r="M380" s="63"/>
      <c r="N380" s="63"/>
      <c r="O380" s="63"/>
      <c r="P380" s="63"/>
      <c r="Q380" s="63"/>
      <c r="R380" s="63"/>
      <c r="S380" s="251">
        <v>2</v>
      </c>
      <c r="T380" s="247">
        <f t="shared" si="44"/>
        <v>52</v>
      </c>
      <c r="U380" s="93">
        <f t="shared" si="46"/>
        <v>2.3711810305517556E-2</v>
      </c>
      <c r="V380" s="203" t="s">
        <v>8</v>
      </c>
      <c r="W380" s="354"/>
    </row>
    <row r="381" spans="1:23" ht="15.75" x14ac:dyDescent="0.25">
      <c r="A381" s="96"/>
      <c r="B381" s="97"/>
      <c r="C381" s="97"/>
      <c r="D381" s="97"/>
      <c r="E381" s="97"/>
      <c r="F381" s="104"/>
      <c r="G381" s="98"/>
      <c r="H381" s="99"/>
      <c r="I381" s="214">
        <v>1</v>
      </c>
      <c r="J381" s="63"/>
      <c r="K381" s="63">
        <v>2</v>
      </c>
      <c r="L381" s="63"/>
      <c r="M381" s="63"/>
      <c r="N381" s="63"/>
      <c r="O381" s="63"/>
      <c r="P381" s="63"/>
      <c r="Q381" s="63"/>
      <c r="R381" s="63"/>
      <c r="S381" s="251"/>
      <c r="T381" s="247">
        <f t="shared" si="44"/>
        <v>0</v>
      </c>
      <c r="U381" s="93">
        <f t="shared" si="46"/>
        <v>0</v>
      </c>
      <c r="V381" s="203" t="s">
        <v>77</v>
      </c>
      <c r="W381" s="354" t="s">
        <v>327</v>
      </c>
    </row>
    <row r="382" spans="1:23" ht="15.75" x14ac:dyDescent="0.25">
      <c r="A382" s="96"/>
      <c r="B382" s="97"/>
      <c r="C382" s="97"/>
      <c r="D382" s="97"/>
      <c r="E382" s="97"/>
      <c r="F382" s="104"/>
      <c r="G382" s="98"/>
      <c r="H382" s="99"/>
      <c r="I382" s="214"/>
      <c r="J382" s="63"/>
      <c r="K382" s="63"/>
      <c r="L382" s="63"/>
      <c r="M382" s="63"/>
      <c r="N382" s="63"/>
      <c r="O382" s="63"/>
      <c r="P382" s="63"/>
      <c r="Q382" s="63"/>
      <c r="R382" s="63"/>
      <c r="S382" s="251">
        <v>1</v>
      </c>
      <c r="T382" s="247">
        <f t="shared" si="44"/>
        <v>1</v>
      </c>
      <c r="U382" s="93">
        <f t="shared" si="46"/>
        <v>4.5599635202918376E-4</v>
      </c>
      <c r="V382" s="203" t="s">
        <v>19</v>
      </c>
      <c r="W382" s="354" t="s">
        <v>330</v>
      </c>
    </row>
    <row r="383" spans="1:23" ht="15.75" x14ac:dyDescent="0.25">
      <c r="A383" s="96"/>
      <c r="B383" s="97"/>
      <c r="C383" s="97"/>
      <c r="D383" s="97"/>
      <c r="E383" s="97"/>
      <c r="F383" s="104"/>
      <c r="G383" s="98"/>
      <c r="H383" s="99"/>
      <c r="I383" s="214"/>
      <c r="J383" s="63"/>
      <c r="K383" s="63"/>
      <c r="L383" s="63"/>
      <c r="M383" s="63"/>
      <c r="N383" s="63"/>
      <c r="O383" s="63"/>
      <c r="P383" s="63"/>
      <c r="Q383" s="63"/>
      <c r="R383" s="63"/>
      <c r="S383" s="251"/>
      <c r="T383" s="247">
        <f t="shared" si="44"/>
        <v>0</v>
      </c>
      <c r="U383" s="93">
        <f t="shared" si="46"/>
        <v>0</v>
      </c>
      <c r="V383" s="203" t="s">
        <v>78</v>
      </c>
      <c r="W383" s="354"/>
    </row>
    <row r="384" spans="1:23" ht="15.75" x14ac:dyDescent="0.25">
      <c r="A384" s="96"/>
      <c r="B384" s="97"/>
      <c r="C384" s="97"/>
      <c r="D384" s="97"/>
      <c r="E384" s="97"/>
      <c r="F384" s="104"/>
      <c r="G384" s="98"/>
      <c r="H384" s="99"/>
      <c r="I384" s="214"/>
      <c r="J384" s="63"/>
      <c r="K384" s="63"/>
      <c r="L384" s="63"/>
      <c r="M384" s="63"/>
      <c r="N384" s="63"/>
      <c r="O384" s="63"/>
      <c r="P384" s="63"/>
      <c r="Q384" s="63"/>
      <c r="R384" s="63"/>
      <c r="S384" s="251"/>
      <c r="T384" s="247">
        <f t="shared" si="44"/>
        <v>0</v>
      </c>
      <c r="U384" s="93">
        <f t="shared" si="46"/>
        <v>0</v>
      </c>
      <c r="V384" s="332" t="s">
        <v>170</v>
      </c>
      <c r="W384" s="354"/>
    </row>
    <row r="385" spans="1:23" ht="15.75" x14ac:dyDescent="0.25">
      <c r="A385" s="96"/>
      <c r="B385" s="97"/>
      <c r="C385" s="97"/>
      <c r="D385" s="97"/>
      <c r="E385" s="104"/>
      <c r="F385" s="104"/>
      <c r="G385" s="98"/>
      <c r="H385" s="99"/>
      <c r="I385" s="214">
        <v>8</v>
      </c>
      <c r="J385" s="63"/>
      <c r="K385" s="63">
        <v>1</v>
      </c>
      <c r="L385" s="63"/>
      <c r="M385" s="63"/>
      <c r="N385" s="63"/>
      <c r="O385" s="63"/>
      <c r="P385" s="63"/>
      <c r="Q385" s="63"/>
      <c r="R385" s="63"/>
      <c r="S385" s="251"/>
      <c r="T385" s="247">
        <f t="shared" si="44"/>
        <v>0</v>
      </c>
      <c r="U385" s="93">
        <f t="shared" si="46"/>
        <v>0</v>
      </c>
      <c r="V385" s="203" t="s">
        <v>12</v>
      </c>
      <c r="W385" s="326"/>
    </row>
    <row r="386" spans="1:23" ht="15.75" x14ac:dyDescent="0.25">
      <c r="A386" s="96"/>
      <c r="B386" s="97"/>
      <c r="C386" s="97"/>
      <c r="D386" s="97"/>
      <c r="E386" s="104"/>
      <c r="F386" s="104"/>
      <c r="G386" s="98"/>
      <c r="H386" s="99"/>
      <c r="I386" s="63">
        <v>5</v>
      </c>
      <c r="J386" s="63"/>
      <c r="K386" s="63"/>
      <c r="L386" s="63"/>
      <c r="M386" s="63"/>
      <c r="N386" s="63"/>
      <c r="O386" s="63"/>
      <c r="P386" s="63"/>
      <c r="Q386" s="63"/>
      <c r="R386" s="63"/>
      <c r="S386" s="251"/>
      <c r="T386" s="247">
        <f t="shared" si="44"/>
        <v>0</v>
      </c>
      <c r="U386" s="93">
        <f t="shared" si="46"/>
        <v>0</v>
      </c>
      <c r="V386" s="204" t="s">
        <v>164</v>
      </c>
      <c r="W386" s="354"/>
    </row>
    <row r="387" spans="1:23" ht="15.75" x14ac:dyDescent="0.25">
      <c r="A387" s="96"/>
      <c r="B387" s="97"/>
      <c r="C387" s="97"/>
      <c r="D387" s="97"/>
      <c r="E387" s="104"/>
      <c r="F387" s="104"/>
      <c r="G387" s="98"/>
      <c r="H387" s="99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251"/>
      <c r="T387" s="247">
        <f t="shared" si="44"/>
        <v>0</v>
      </c>
      <c r="U387" s="93">
        <f t="shared" si="46"/>
        <v>0</v>
      </c>
      <c r="V387" s="204" t="s">
        <v>318</v>
      </c>
      <c r="W387" s="326"/>
    </row>
    <row r="388" spans="1:23" ht="16.5" thickBot="1" x14ac:dyDescent="0.3">
      <c r="A388" s="96"/>
      <c r="B388" s="97"/>
      <c r="C388" s="97"/>
      <c r="D388" s="97"/>
      <c r="E388" s="104"/>
      <c r="F388" s="104"/>
      <c r="G388" s="98"/>
      <c r="H388" s="107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254"/>
      <c r="T388" s="248">
        <f t="shared" si="44"/>
        <v>0</v>
      </c>
      <c r="U388" s="299">
        <f>($T388)/$D$359</f>
        <v>0</v>
      </c>
      <c r="V388" s="357" t="s">
        <v>94</v>
      </c>
      <c r="W388" s="326"/>
    </row>
    <row r="389" spans="1:23" ht="16.5" thickBot="1" x14ac:dyDescent="0.3">
      <c r="A389" s="96"/>
      <c r="B389" s="97"/>
      <c r="C389" s="97"/>
      <c r="D389" s="97"/>
      <c r="E389" s="104"/>
      <c r="F389" s="104"/>
      <c r="G389" s="98"/>
      <c r="H389" s="430"/>
      <c r="I389" s="431"/>
      <c r="J389" s="432"/>
      <c r="K389" s="431"/>
      <c r="L389" s="431"/>
      <c r="M389" s="431"/>
      <c r="N389" s="431"/>
      <c r="O389" s="431"/>
      <c r="P389" s="431"/>
      <c r="Q389" s="431"/>
      <c r="R389" s="431"/>
      <c r="S389" s="431"/>
      <c r="T389" s="433"/>
      <c r="U389" s="433"/>
      <c r="V389" s="441" t="s">
        <v>267</v>
      </c>
      <c r="W389" s="354" t="s">
        <v>328</v>
      </c>
    </row>
    <row r="390" spans="1:23" ht="15.75" x14ac:dyDescent="0.25">
      <c r="A390" s="96"/>
      <c r="B390" s="97"/>
      <c r="C390" s="97"/>
      <c r="D390" s="97"/>
      <c r="E390" s="104"/>
      <c r="F390" s="104"/>
      <c r="G390" s="109"/>
      <c r="H390" s="90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250"/>
      <c r="T390" s="249">
        <f t="shared" ref="T390:T399" si="47">SUM(H390,J390,L390,N390,P390,R390,S390)</f>
        <v>0</v>
      </c>
      <c r="U390" s="183">
        <f>($T390)/$D$359</f>
        <v>0</v>
      </c>
      <c r="V390" s="202" t="s">
        <v>89</v>
      </c>
      <c r="W390" s="126" t="s">
        <v>220</v>
      </c>
    </row>
    <row r="391" spans="1:23" ht="15.75" x14ac:dyDescent="0.25">
      <c r="A391" s="96"/>
      <c r="B391" s="97"/>
      <c r="C391" s="97"/>
      <c r="D391" s="97"/>
      <c r="E391" s="104"/>
      <c r="F391" s="104"/>
      <c r="G391" s="109"/>
      <c r="H391" s="99">
        <v>2</v>
      </c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251"/>
      <c r="T391" s="247">
        <f t="shared" si="47"/>
        <v>2</v>
      </c>
      <c r="U391" s="183">
        <f>($T391)/$D$359</f>
        <v>9.1199270405836752E-4</v>
      </c>
      <c r="V391" s="203" t="s">
        <v>83</v>
      </c>
      <c r="W391" s="326" t="s">
        <v>329</v>
      </c>
    </row>
    <row r="392" spans="1:23" x14ac:dyDescent="0.25">
      <c r="A392" s="96"/>
      <c r="B392" s="97"/>
      <c r="C392" s="97"/>
      <c r="D392" s="97"/>
      <c r="E392" s="104"/>
      <c r="F392" s="104"/>
      <c r="G392" s="109"/>
      <c r="H392" s="99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251"/>
      <c r="T392" s="247">
        <f t="shared" si="47"/>
        <v>0</v>
      </c>
      <c r="U392" s="183">
        <f t="shared" ref="U392:U398" si="48">($T392)/$D$359</f>
        <v>0</v>
      </c>
      <c r="V392" s="355" t="s">
        <v>11</v>
      </c>
      <c r="W392" s="326" t="s">
        <v>331</v>
      </c>
    </row>
    <row r="393" spans="1:23" ht="15.75" x14ac:dyDescent="0.25">
      <c r="A393" s="96"/>
      <c r="B393" s="97"/>
      <c r="C393" s="97"/>
      <c r="D393" s="97"/>
      <c r="E393" s="104"/>
      <c r="F393" s="104"/>
      <c r="G393" s="109"/>
      <c r="H393" s="99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251"/>
      <c r="T393" s="247">
        <f t="shared" si="47"/>
        <v>0</v>
      </c>
      <c r="U393" s="183">
        <f t="shared" si="48"/>
        <v>0</v>
      </c>
      <c r="V393" s="203" t="s">
        <v>12</v>
      </c>
      <c r="W393" s="326"/>
    </row>
    <row r="394" spans="1:23" ht="15.75" x14ac:dyDescent="0.25">
      <c r="A394" s="96"/>
      <c r="B394" s="97"/>
      <c r="C394" s="97"/>
      <c r="D394" s="97"/>
      <c r="E394" s="104"/>
      <c r="F394" s="104"/>
      <c r="G394" s="109"/>
      <c r="H394" s="99">
        <v>1</v>
      </c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251"/>
      <c r="T394" s="247">
        <f t="shared" si="47"/>
        <v>1</v>
      </c>
      <c r="U394" s="183">
        <f t="shared" si="48"/>
        <v>4.5599635202918376E-4</v>
      </c>
      <c r="V394" s="204" t="s">
        <v>85</v>
      </c>
      <c r="W394" s="326"/>
    </row>
    <row r="395" spans="1:23" ht="15.75" x14ac:dyDescent="0.25">
      <c r="A395" s="96"/>
      <c r="B395" s="97"/>
      <c r="C395" s="97"/>
      <c r="D395" s="97"/>
      <c r="E395" s="104"/>
      <c r="F395" s="104"/>
      <c r="G395" s="109"/>
      <c r="H395" s="99">
        <v>65</v>
      </c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251"/>
      <c r="T395" s="247">
        <f t="shared" si="47"/>
        <v>65</v>
      </c>
      <c r="U395" s="183">
        <f t="shared" si="48"/>
        <v>2.9639762881896944E-2</v>
      </c>
      <c r="V395" s="204" t="s">
        <v>26</v>
      </c>
      <c r="W395" s="326"/>
    </row>
    <row r="396" spans="1:23" ht="15.75" x14ac:dyDescent="0.25">
      <c r="A396" s="96"/>
      <c r="B396" s="97"/>
      <c r="C396" s="97"/>
      <c r="D396" s="97"/>
      <c r="E396" s="104"/>
      <c r="F396" s="104"/>
      <c r="G396" s="109"/>
      <c r="H396" s="107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254"/>
      <c r="T396" s="247">
        <f t="shared" si="47"/>
        <v>0</v>
      </c>
      <c r="U396" s="183">
        <f t="shared" si="48"/>
        <v>0</v>
      </c>
      <c r="V396" s="207" t="s">
        <v>35</v>
      </c>
      <c r="W396" s="126"/>
    </row>
    <row r="397" spans="1:23" ht="15.75" x14ac:dyDescent="0.25">
      <c r="A397" s="96"/>
      <c r="B397" s="97"/>
      <c r="C397" s="97"/>
      <c r="D397" s="97"/>
      <c r="E397" s="104"/>
      <c r="F397" s="104"/>
      <c r="G397" s="109"/>
      <c r="H397" s="107">
        <v>1</v>
      </c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254"/>
      <c r="T397" s="247">
        <f t="shared" si="47"/>
        <v>1</v>
      </c>
      <c r="U397" s="183">
        <f t="shared" si="48"/>
        <v>4.5599635202918376E-4</v>
      </c>
      <c r="V397" s="203" t="s">
        <v>71</v>
      </c>
      <c r="W397" s="429"/>
    </row>
    <row r="398" spans="1:23" ht="15.75" x14ac:dyDescent="0.25">
      <c r="A398" s="96"/>
      <c r="B398" s="97"/>
      <c r="C398" s="97"/>
      <c r="D398" s="97"/>
      <c r="E398" s="104"/>
      <c r="F398" s="104"/>
      <c r="G398" s="109"/>
      <c r="H398" s="107">
        <v>13</v>
      </c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254"/>
      <c r="T398" s="247">
        <f t="shared" si="47"/>
        <v>13</v>
      </c>
      <c r="U398" s="183">
        <f t="shared" si="48"/>
        <v>5.9279525763793889E-3</v>
      </c>
      <c r="V398" s="203" t="s">
        <v>148</v>
      </c>
      <c r="W398" s="326"/>
    </row>
    <row r="399" spans="1:23" ht="16.5" thickBot="1" x14ac:dyDescent="0.3">
      <c r="A399" s="117"/>
      <c r="B399" s="118"/>
      <c r="C399" s="118"/>
      <c r="D399" s="118"/>
      <c r="E399" s="119"/>
      <c r="F399" s="119"/>
      <c r="G399" s="120"/>
      <c r="H399" s="107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254"/>
      <c r="T399" s="247">
        <f t="shared" si="47"/>
        <v>0</v>
      </c>
      <c r="U399" s="299">
        <f>($T399)/$D$359</f>
        <v>0</v>
      </c>
      <c r="V399" s="205" t="s">
        <v>310</v>
      </c>
      <c r="W399" s="352"/>
    </row>
    <row r="400" spans="1:23" ht="15.75" thickBot="1" x14ac:dyDescent="0.3">
      <c r="A400" s="122"/>
      <c r="B400" s="122"/>
      <c r="C400" s="122"/>
      <c r="D400" s="122"/>
      <c r="E400" s="122"/>
      <c r="F400" s="122"/>
      <c r="G400" s="47" t="s">
        <v>4</v>
      </c>
      <c r="H400" s="123">
        <f>SUM(H360:H399)</f>
        <v>235</v>
      </c>
      <c r="I400" s="123">
        <f t="shared" ref="I400:S400" si="49">SUM(I360:I399)</f>
        <v>82</v>
      </c>
      <c r="J400" s="123">
        <f t="shared" si="49"/>
        <v>38</v>
      </c>
      <c r="K400" s="123">
        <f t="shared" si="49"/>
        <v>64</v>
      </c>
      <c r="L400" s="123">
        <f t="shared" si="49"/>
        <v>23</v>
      </c>
      <c r="M400" s="123">
        <f t="shared" si="49"/>
        <v>0</v>
      </c>
      <c r="N400" s="123">
        <f t="shared" si="49"/>
        <v>0</v>
      </c>
      <c r="O400" s="123">
        <f t="shared" si="49"/>
        <v>0</v>
      </c>
      <c r="P400" s="123">
        <f t="shared" si="49"/>
        <v>0</v>
      </c>
      <c r="Q400" s="123">
        <f t="shared" si="49"/>
        <v>0</v>
      </c>
      <c r="R400" s="123">
        <f t="shared" si="49"/>
        <v>0</v>
      </c>
      <c r="S400" s="123">
        <f t="shared" si="49"/>
        <v>55</v>
      </c>
      <c r="T400" s="198">
        <f>SUM(H400,J400,L400,N400,P400,R400,S400)</f>
        <v>351</v>
      </c>
      <c r="U400" s="333">
        <f>($T400)/$D$359</f>
        <v>0.16005471956224351</v>
      </c>
      <c r="V400" s="40"/>
    </row>
    <row r="402" spans="1:23" ht="15.75" thickBot="1" x14ac:dyDescent="0.3"/>
    <row r="403" spans="1:23" ht="75.75" thickBot="1" x14ac:dyDescent="0.3">
      <c r="A403" s="42" t="s">
        <v>22</v>
      </c>
      <c r="B403" s="42" t="s">
        <v>47</v>
      </c>
      <c r="C403" s="43" t="s">
        <v>52</v>
      </c>
      <c r="D403" s="43" t="s">
        <v>17</v>
      </c>
      <c r="E403" s="42" t="s">
        <v>16</v>
      </c>
      <c r="F403" s="44" t="s">
        <v>1</v>
      </c>
      <c r="G403" s="45" t="s">
        <v>23</v>
      </c>
      <c r="H403" s="46" t="s">
        <v>72</v>
      </c>
      <c r="I403" s="46" t="s">
        <v>73</v>
      </c>
      <c r="J403" s="46" t="s">
        <v>53</v>
      </c>
      <c r="K403" s="46" t="s">
        <v>58</v>
      </c>
      <c r="L403" s="46" t="s">
        <v>54</v>
      </c>
      <c r="M403" s="46" t="s">
        <v>59</v>
      </c>
      <c r="N403" s="46" t="s">
        <v>55</v>
      </c>
      <c r="O403" s="46" t="s">
        <v>60</v>
      </c>
      <c r="P403" s="46" t="s">
        <v>56</v>
      </c>
      <c r="Q403" s="46" t="s">
        <v>74</v>
      </c>
      <c r="R403" s="46" t="s">
        <v>115</v>
      </c>
      <c r="S403" s="46" t="s">
        <v>41</v>
      </c>
      <c r="T403" s="46" t="s">
        <v>4</v>
      </c>
      <c r="U403" s="42" t="s">
        <v>2</v>
      </c>
      <c r="V403" s="80" t="s">
        <v>20</v>
      </c>
      <c r="W403" s="81" t="s">
        <v>6</v>
      </c>
    </row>
    <row r="404" spans="1:23" ht="15.75" thickBot="1" x14ac:dyDescent="0.3">
      <c r="A404" s="316">
        <v>1514190</v>
      </c>
      <c r="B404" s="209" t="s">
        <v>110</v>
      </c>
      <c r="C404" s="316">
        <v>1920</v>
      </c>
      <c r="D404" s="316">
        <v>2069</v>
      </c>
      <c r="E404" s="321">
        <v>1824</v>
      </c>
      <c r="F404" s="322">
        <f>E404/D404</f>
        <v>0.88158530691155146</v>
      </c>
      <c r="G404" s="48">
        <v>45350</v>
      </c>
      <c r="H404" s="82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4"/>
      <c r="T404" s="296"/>
      <c r="U404" s="115"/>
      <c r="V404" s="86" t="s">
        <v>75</v>
      </c>
      <c r="W404" s="353" t="s">
        <v>70</v>
      </c>
    </row>
    <row r="405" spans="1:23" ht="15.75" x14ac:dyDescent="0.25">
      <c r="A405" s="87"/>
      <c r="B405" s="88"/>
      <c r="C405" s="88"/>
      <c r="D405" s="88"/>
      <c r="E405" s="88"/>
      <c r="F405" s="88"/>
      <c r="G405" s="89"/>
      <c r="H405" s="90">
        <v>9</v>
      </c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250">
        <v>5</v>
      </c>
      <c r="T405" s="249">
        <f>SUM(H405,J405,L405,N405,P405,R405,S405)</f>
        <v>14</v>
      </c>
      <c r="U405" s="349">
        <f>($T405)/$D$404</f>
        <v>6.7665538907684874E-3</v>
      </c>
      <c r="V405" s="202" t="s">
        <v>15</v>
      </c>
      <c r="W405" s="210" t="s">
        <v>120</v>
      </c>
    </row>
    <row r="406" spans="1:23" ht="15.75" x14ac:dyDescent="0.25">
      <c r="A406" s="96"/>
      <c r="B406" s="97"/>
      <c r="C406" s="97"/>
      <c r="D406" s="97"/>
      <c r="E406" s="97"/>
      <c r="F406" s="97"/>
      <c r="G406" s="98"/>
      <c r="H406" s="348"/>
      <c r="I406" s="111"/>
      <c r="J406" s="111">
        <v>1</v>
      </c>
      <c r="K406" s="111"/>
      <c r="L406" s="111"/>
      <c r="M406" s="111"/>
      <c r="N406" s="111"/>
      <c r="O406" s="111"/>
      <c r="P406" s="111"/>
      <c r="Q406" s="111"/>
      <c r="R406" s="111"/>
      <c r="S406" s="253">
        <v>1</v>
      </c>
      <c r="T406" s="249">
        <f>SUM(H406,J406,L406,N406,P406,R406,S406)</f>
        <v>2</v>
      </c>
      <c r="U406" s="299">
        <f>($T406)/$D$404</f>
        <v>9.666505558240696E-4</v>
      </c>
      <c r="V406" s="206" t="s">
        <v>43</v>
      </c>
      <c r="W406" s="210" t="s">
        <v>317</v>
      </c>
    </row>
    <row r="407" spans="1:23" ht="15.75" x14ac:dyDescent="0.25">
      <c r="A407" s="96"/>
      <c r="B407" s="97"/>
      <c r="C407" s="97"/>
      <c r="D407" s="97"/>
      <c r="E407" s="97"/>
      <c r="F407" s="97"/>
      <c r="G407" s="98"/>
      <c r="H407" s="99">
        <v>9</v>
      </c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251"/>
      <c r="T407" s="247">
        <f t="shared" ref="T407:T424" si="50">SUM(H407,J407,L407,N407,P407,R407,S407)</f>
        <v>9</v>
      </c>
      <c r="U407" s="299">
        <f t="shared" ref="U407:U420" si="51">($T407)/$D$404</f>
        <v>4.3499275012083135E-3</v>
      </c>
      <c r="V407" s="203" t="s">
        <v>5</v>
      </c>
      <c r="W407" s="210" t="s">
        <v>333</v>
      </c>
    </row>
    <row r="408" spans="1:23" ht="15.75" x14ac:dyDescent="0.25">
      <c r="A408" s="96"/>
      <c r="B408" s="97"/>
      <c r="C408" s="97"/>
      <c r="D408" s="97"/>
      <c r="E408" s="104"/>
      <c r="F408" s="104"/>
      <c r="G408" s="98"/>
      <c r="H408" s="99">
        <v>37</v>
      </c>
      <c r="I408" s="63"/>
      <c r="J408" s="63">
        <v>2</v>
      </c>
      <c r="K408" s="63"/>
      <c r="L408" s="63"/>
      <c r="M408" s="63"/>
      <c r="N408" s="63"/>
      <c r="O408" s="63"/>
      <c r="P408" s="63"/>
      <c r="Q408" s="63"/>
      <c r="R408" s="63"/>
      <c r="S408" s="251">
        <v>2</v>
      </c>
      <c r="T408" s="247">
        <f t="shared" si="50"/>
        <v>41</v>
      </c>
      <c r="U408" s="299">
        <f t="shared" si="51"/>
        <v>1.9816336394393428E-2</v>
      </c>
      <c r="V408" s="203" t="s">
        <v>13</v>
      </c>
      <c r="W408" s="244"/>
    </row>
    <row r="409" spans="1:23" ht="15.75" x14ac:dyDescent="0.25">
      <c r="A409" s="96"/>
      <c r="B409" s="97"/>
      <c r="C409" s="97"/>
      <c r="D409" s="97"/>
      <c r="E409" s="104"/>
      <c r="F409" s="104"/>
      <c r="G409" s="98"/>
      <c r="H409" s="99">
        <v>11</v>
      </c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251"/>
      <c r="T409" s="247">
        <f t="shared" si="50"/>
        <v>11</v>
      </c>
      <c r="U409" s="299">
        <f t="shared" si="51"/>
        <v>5.3165780570323829E-3</v>
      </c>
      <c r="V409" s="203" t="s">
        <v>14</v>
      </c>
      <c r="W409" s="311"/>
    </row>
    <row r="410" spans="1:23" ht="15.75" x14ac:dyDescent="0.25">
      <c r="A410" s="96"/>
      <c r="B410" s="97"/>
      <c r="C410" s="97"/>
      <c r="D410" s="97"/>
      <c r="E410" s="104"/>
      <c r="F410" s="104"/>
      <c r="G410" s="98"/>
      <c r="H410" s="99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251"/>
      <c r="T410" s="247">
        <f t="shared" si="50"/>
        <v>0</v>
      </c>
      <c r="U410" s="299">
        <f t="shared" si="51"/>
        <v>0</v>
      </c>
      <c r="V410" s="203" t="s">
        <v>30</v>
      </c>
      <c r="W410" s="311"/>
    </row>
    <row r="411" spans="1:23" ht="15.75" x14ac:dyDescent="0.25">
      <c r="A411" s="96"/>
      <c r="B411" s="97"/>
      <c r="C411" s="97"/>
      <c r="D411" s="97"/>
      <c r="E411" s="104"/>
      <c r="F411" s="104"/>
      <c r="G411" s="98"/>
      <c r="H411" s="99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251"/>
      <c r="T411" s="247">
        <f t="shared" si="50"/>
        <v>0</v>
      </c>
      <c r="U411" s="299">
        <f t="shared" si="51"/>
        <v>0</v>
      </c>
      <c r="V411" s="203" t="s">
        <v>31</v>
      </c>
      <c r="W411" s="105"/>
    </row>
    <row r="412" spans="1:23" ht="15.75" x14ac:dyDescent="0.25">
      <c r="A412" s="96"/>
      <c r="B412" s="97"/>
      <c r="C412" s="97"/>
      <c r="D412" s="97"/>
      <c r="E412" s="104"/>
      <c r="F412" s="104"/>
      <c r="G412" s="98"/>
      <c r="H412" s="99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251"/>
      <c r="T412" s="247">
        <f t="shared" si="50"/>
        <v>0</v>
      </c>
      <c r="U412" s="299">
        <f t="shared" si="51"/>
        <v>0</v>
      </c>
      <c r="V412" s="203" t="s">
        <v>168</v>
      </c>
      <c r="W412" s="323"/>
    </row>
    <row r="413" spans="1:23" ht="15.75" x14ac:dyDescent="0.25">
      <c r="A413" s="96"/>
      <c r="B413" s="97"/>
      <c r="C413" s="97"/>
      <c r="D413" s="97"/>
      <c r="E413" s="104"/>
      <c r="F413" s="104"/>
      <c r="G413" s="98"/>
      <c r="H413" s="99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251"/>
      <c r="T413" s="247">
        <f t="shared" si="50"/>
        <v>0</v>
      </c>
      <c r="U413" s="299">
        <f t="shared" si="51"/>
        <v>0</v>
      </c>
      <c r="V413" s="204" t="s">
        <v>202</v>
      </c>
      <c r="W413" s="105"/>
    </row>
    <row r="414" spans="1:23" ht="15.75" x14ac:dyDescent="0.25">
      <c r="A414" s="96"/>
      <c r="B414" s="97"/>
      <c r="C414" s="97"/>
      <c r="D414" s="97"/>
      <c r="E414" s="104"/>
      <c r="F414" s="104"/>
      <c r="G414" s="98"/>
      <c r="H414" s="99">
        <v>2</v>
      </c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251">
        <v>5</v>
      </c>
      <c r="T414" s="247">
        <f t="shared" si="50"/>
        <v>7</v>
      </c>
      <c r="U414" s="299">
        <f t="shared" si="51"/>
        <v>3.3832769453842437E-3</v>
      </c>
      <c r="V414" s="203" t="s">
        <v>0</v>
      </c>
      <c r="W414" s="354"/>
    </row>
    <row r="415" spans="1:23" ht="15.75" x14ac:dyDescent="0.25">
      <c r="A415" s="96"/>
      <c r="B415" s="97"/>
      <c r="C415" s="97"/>
      <c r="D415" s="97"/>
      <c r="E415" s="104"/>
      <c r="F415" s="104"/>
      <c r="G415" s="98"/>
      <c r="H415" s="99">
        <v>15</v>
      </c>
      <c r="I415" s="63"/>
      <c r="J415" s="63">
        <v>5</v>
      </c>
      <c r="K415" s="63"/>
      <c r="L415" s="63"/>
      <c r="M415" s="63"/>
      <c r="N415" s="63"/>
      <c r="O415" s="63"/>
      <c r="P415" s="63"/>
      <c r="Q415" s="63"/>
      <c r="R415" s="63"/>
      <c r="S415" s="251">
        <v>5</v>
      </c>
      <c r="T415" s="247">
        <f t="shared" si="50"/>
        <v>25</v>
      </c>
      <c r="U415" s="299">
        <f t="shared" si="51"/>
        <v>1.2083131947800869E-2</v>
      </c>
      <c r="V415" s="203" t="s">
        <v>11</v>
      </c>
      <c r="W415" s="354"/>
    </row>
    <row r="416" spans="1:23" ht="15.75" x14ac:dyDescent="0.25">
      <c r="A416" s="96"/>
      <c r="B416" s="97"/>
      <c r="C416" s="97"/>
      <c r="D416" s="97"/>
      <c r="E416" s="104"/>
      <c r="F416" s="104" t="s">
        <v>100</v>
      </c>
      <c r="G416" s="98"/>
      <c r="H416" s="99">
        <v>5</v>
      </c>
      <c r="I416" s="63"/>
      <c r="J416" s="63">
        <v>1</v>
      </c>
      <c r="K416" s="63"/>
      <c r="L416" s="63"/>
      <c r="M416" s="63"/>
      <c r="N416" s="63"/>
      <c r="O416" s="63"/>
      <c r="P416" s="63"/>
      <c r="Q416" s="63"/>
      <c r="R416" s="63"/>
      <c r="S416" s="251">
        <v>1</v>
      </c>
      <c r="T416" s="247">
        <f t="shared" si="50"/>
        <v>7</v>
      </c>
      <c r="U416" s="299">
        <f t="shared" si="51"/>
        <v>3.3832769453842437E-3</v>
      </c>
      <c r="V416" s="203" t="s">
        <v>33</v>
      </c>
      <c r="W416" s="326"/>
    </row>
    <row r="417" spans="1:23" ht="15.75" x14ac:dyDescent="0.25">
      <c r="A417" s="96"/>
      <c r="B417" s="97"/>
      <c r="C417" s="97"/>
      <c r="D417" s="97"/>
      <c r="E417" s="104"/>
      <c r="F417" s="104"/>
      <c r="G417" s="98"/>
      <c r="H417" s="99"/>
      <c r="I417" s="63"/>
      <c r="J417" s="63">
        <v>4</v>
      </c>
      <c r="K417" s="63"/>
      <c r="L417" s="63"/>
      <c r="M417" s="63"/>
      <c r="N417" s="63"/>
      <c r="O417" s="63"/>
      <c r="P417" s="63"/>
      <c r="Q417" s="63"/>
      <c r="R417" s="63"/>
      <c r="S417" s="251"/>
      <c r="T417" s="247">
        <f t="shared" si="50"/>
        <v>4</v>
      </c>
      <c r="U417" s="299">
        <f t="shared" si="51"/>
        <v>1.9333011116481392E-3</v>
      </c>
      <c r="V417" s="204" t="s">
        <v>27</v>
      </c>
      <c r="W417" s="354"/>
    </row>
    <row r="418" spans="1:23" ht="15.75" x14ac:dyDescent="0.25">
      <c r="A418" s="96"/>
      <c r="B418" s="97"/>
      <c r="C418" s="97"/>
      <c r="D418" s="97"/>
      <c r="E418" s="104"/>
      <c r="F418" s="104"/>
      <c r="G418" s="109"/>
      <c r="H418" s="110">
        <v>1</v>
      </c>
      <c r="I418" s="63"/>
      <c r="J418" s="63">
        <v>1</v>
      </c>
      <c r="K418" s="63"/>
      <c r="L418" s="63"/>
      <c r="M418" s="63"/>
      <c r="N418" s="63"/>
      <c r="O418" s="63"/>
      <c r="P418" s="63"/>
      <c r="Q418" s="63"/>
      <c r="R418" s="63"/>
      <c r="S418" s="251">
        <v>2</v>
      </c>
      <c r="T418" s="247">
        <f t="shared" si="50"/>
        <v>4</v>
      </c>
      <c r="U418" s="299">
        <f t="shared" si="51"/>
        <v>1.9333011116481392E-3</v>
      </c>
      <c r="V418" s="204" t="s">
        <v>26</v>
      </c>
      <c r="W418" s="212"/>
    </row>
    <row r="419" spans="1:23" ht="15.75" x14ac:dyDescent="0.25">
      <c r="A419" s="96"/>
      <c r="B419" s="97"/>
      <c r="C419" s="97"/>
      <c r="D419" s="97"/>
      <c r="E419" s="104"/>
      <c r="F419" s="104"/>
      <c r="G419" s="109"/>
      <c r="H419" s="110">
        <v>1</v>
      </c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251"/>
      <c r="T419" s="247">
        <f t="shared" si="50"/>
        <v>1</v>
      </c>
      <c r="U419" s="299">
        <f t="shared" si="51"/>
        <v>4.833252779120348E-4</v>
      </c>
      <c r="V419" s="204" t="s">
        <v>71</v>
      </c>
      <c r="W419" s="103"/>
    </row>
    <row r="420" spans="1:23" ht="15.75" x14ac:dyDescent="0.25">
      <c r="A420" s="96"/>
      <c r="B420" s="97"/>
      <c r="C420" s="97"/>
      <c r="D420" s="97"/>
      <c r="E420" s="104"/>
      <c r="F420" s="104"/>
      <c r="G420" s="109"/>
      <c r="H420" s="464"/>
      <c r="I420" s="100"/>
      <c r="J420" s="100">
        <v>1</v>
      </c>
      <c r="K420" s="100"/>
      <c r="L420" s="100"/>
      <c r="M420" s="100"/>
      <c r="N420" s="100"/>
      <c r="O420" s="100"/>
      <c r="P420" s="100"/>
      <c r="Q420" s="100"/>
      <c r="R420" s="100"/>
      <c r="S420" s="254"/>
      <c r="T420" s="247">
        <f t="shared" ref="T420" si="52">SUM(H420,J420,L420,N420,P420,R420,S420)</f>
        <v>1</v>
      </c>
      <c r="U420" s="299">
        <f t="shared" si="51"/>
        <v>4.833252779120348E-4</v>
      </c>
      <c r="V420" s="204" t="s">
        <v>363</v>
      </c>
      <c r="W420" s="103"/>
    </row>
    <row r="421" spans="1:23" ht="16.5" thickBot="1" x14ac:dyDescent="0.3">
      <c r="A421" s="96"/>
      <c r="B421" s="97"/>
      <c r="C421" s="97"/>
      <c r="D421" s="97"/>
      <c r="E421" s="104"/>
      <c r="F421" s="104"/>
      <c r="G421" s="109"/>
      <c r="H421" s="186"/>
      <c r="I421" s="187"/>
      <c r="J421" s="187">
        <v>29</v>
      </c>
      <c r="K421" s="187"/>
      <c r="L421" s="187"/>
      <c r="M421" s="187"/>
      <c r="N421" s="187"/>
      <c r="O421" s="187"/>
      <c r="P421" s="187"/>
      <c r="Q421" s="187"/>
      <c r="R421" s="187"/>
      <c r="S421" s="252"/>
      <c r="T421" s="248">
        <f t="shared" si="50"/>
        <v>29</v>
      </c>
      <c r="U421" s="245">
        <f>($T421)/$D$404</f>
        <v>1.401643305944901E-2</v>
      </c>
      <c r="V421" s="205" t="s">
        <v>364</v>
      </c>
      <c r="W421" s="212"/>
    </row>
    <row r="422" spans="1:23" ht="15.75" x14ac:dyDescent="0.25">
      <c r="A422" s="96"/>
      <c r="B422" s="97"/>
      <c r="C422" s="97"/>
      <c r="D422" s="97"/>
      <c r="E422" s="104"/>
      <c r="F422" s="104"/>
      <c r="G422" s="98"/>
      <c r="H422" s="90"/>
      <c r="I422" s="111">
        <v>3</v>
      </c>
      <c r="J422" s="111"/>
      <c r="K422" s="111"/>
      <c r="L422" s="111"/>
      <c r="M422" s="111"/>
      <c r="N422" s="111"/>
      <c r="O422" s="111"/>
      <c r="P422" s="111"/>
      <c r="Q422" s="111"/>
      <c r="R422" s="111"/>
      <c r="S422" s="253"/>
      <c r="T422" s="249">
        <f t="shared" si="50"/>
        <v>0</v>
      </c>
      <c r="U422" s="183">
        <f>($T422)/$D$404</f>
        <v>0</v>
      </c>
      <c r="V422" s="206" t="s">
        <v>10</v>
      </c>
      <c r="W422" s="106"/>
    </row>
    <row r="423" spans="1:23" ht="15.75" x14ac:dyDescent="0.25">
      <c r="A423" s="96"/>
      <c r="B423" s="97"/>
      <c r="C423" s="97"/>
      <c r="D423" s="97"/>
      <c r="E423" s="104"/>
      <c r="F423" s="104"/>
      <c r="G423" s="98"/>
      <c r="H423" s="99"/>
      <c r="I423" s="213"/>
      <c r="J423" s="63"/>
      <c r="K423" s="63"/>
      <c r="L423" s="63"/>
      <c r="M423" s="63"/>
      <c r="N423" s="63"/>
      <c r="O423" s="63"/>
      <c r="P423" s="63"/>
      <c r="Q423" s="63"/>
      <c r="R423" s="63"/>
      <c r="S423" s="251"/>
      <c r="T423" s="247">
        <f t="shared" si="50"/>
        <v>0</v>
      </c>
      <c r="U423" s="93">
        <f>($T423)/$D$404</f>
        <v>0</v>
      </c>
      <c r="V423" s="331" t="s">
        <v>94</v>
      </c>
      <c r="W423" s="106"/>
    </row>
    <row r="424" spans="1:23" ht="15.75" x14ac:dyDescent="0.25">
      <c r="A424" s="96"/>
      <c r="B424" s="97"/>
      <c r="C424" s="97"/>
      <c r="D424" s="97"/>
      <c r="E424" s="104"/>
      <c r="F424" s="104"/>
      <c r="G424" s="98"/>
      <c r="H424" s="99"/>
      <c r="I424" s="214">
        <v>3</v>
      </c>
      <c r="J424" s="63"/>
      <c r="K424" s="63"/>
      <c r="L424" s="63"/>
      <c r="M424" s="63"/>
      <c r="N424" s="63"/>
      <c r="O424" s="63"/>
      <c r="P424" s="63"/>
      <c r="Q424" s="63"/>
      <c r="R424" s="63"/>
      <c r="S424" s="251">
        <v>3</v>
      </c>
      <c r="T424" s="247">
        <f t="shared" si="50"/>
        <v>3</v>
      </c>
      <c r="U424" s="93">
        <f t="shared" ref="U424:U433" si="53">($T424)/$D$404</f>
        <v>1.4499758337361043E-3</v>
      </c>
      <c r="V424" s="203" t="s">
        <v>3</v>
      </c>
      <c r="W424" s="105"/>
    </row>
    <row r="425" spans="1:23" ht="15.75" x14ac:dyDescent="0.25">
      <c r="A425" s="96"/>
      <c r="B425" s="97"/>
      <c r="C425" s="97"/>
      <c r="D425" s="97"/>
      <c r="E425" s="97"/>
      <c r="F425" s="104"/>
      <c r="G425" s="98"/>
      <c r="H425" s="99"/>
      <c r="I425" s="214">
        <v>6</v>
      </c>
      <c r="J425" s="63"/>
      <c r="K425" s="63"/>
      <c r="L425" s="63"/>
      <c r="M425" s="63"/>
      <c r="N425" s="63"/>
      <c r="O425" s="63"/>
      <c r="P425" s="63"/>
      <c r="Q425" s="63"/>
      <c r="R425" s="63"/>
      <c r="S425" s="251">
        <v>23</v>
      </c>
      <c r="T425" s="247">
        <f>SUM(H425,J425,L425,N425,P425,R425,S425)</f>
        <v>23</v>
      </c>
      <c r="U425" s="93">
        <f t="shared" si="53"/>
        <v>1.1116481391976801E-2</v>
      </c>
      <c r="V425" s="203" t="s">
        <v>7</v>
      </c>
      <c r="W425" s="106"/>
    </row>
    <row r="426" spans="1:23" ht="15.75" x14ac:dyDescent="0.25">
      <c r="A426" s="96"/>
      <c r="B426" s="97"/>
      <c r="C426" s="97"/>
      <c r="D426" s="97"/>
      <c r="E426" s="97"/>
      <c r="F426" s="104"/>
      <c r="G426" s="98"/>
      <c r="H426" s="99"/>
      <c r="I426" s="214">
        <v>44</v>
      </c>
      <c r="J426" s="63"/>
      <c r="K426" s="63"/>
      <c r="L426" s="63"/>
      <c r="M426" s="63"/>
      <c r="N426" s="63"/>
      <c r="O426" s="63"/>
      <c r="P426" s="63"/>
      <c r="Q426" s="63"/>
      <c r="R426" s="63"/>
      <c r="S426" s="251">
        <v>1</v>
      </c>
      <c r="T426" s="247">
        <f t="shared" ref="T426:T434" si="54">SUM(H426,J426,L426,N426,P426,R426,S426)</f>
        <v>1</v>
      </c>
      <c r="U426" s="93">
        <f t="shared" si="53"/>
        <v>4.833252779120348E-4</v>
      </c>
      <c r="V426" s="203" t="s">
        <v>8</v>
      </c>
      <c r="W426" s="354"/>
    </row>
    <row r="427" spans="1:23" ht="15.75" x14ac:dyDescent="0.25">
      <c r="A427" s="96"/>
      <c r="B427" s="97"/>
      <c r="C427" s="97"/>
      <c r="D427" s="97"/>
      <c r="E427" s="97"/>
      <c r="F427" s="104"/>
      <c r="G427" s="98"/>
      <c r="H427" s="99"/>
      <c r="I427" s="214">
        <v>4</v>
      </c>
      <c r="J427" s="63"/>
      <c r="K427" s="63"/>
      <c r="L427" s="63"/>
      <c r="M427" s="63"/>
      <c r="N427" s="63"/>
      <c r="O427" s="63"/>
      <c r="P427" s="63"/>
      <c r="Q427" s="63"/>
      <c r="R427" s="63"/>
      <c r="S427" s="251"/>
      <c r="T427" s="247">
        <f t="shared" si="54"/>
        <v>0</v>
      </c>
      <c r="U427" s="93">
        <f t="shared" si="53"/>
        <v>0</v>
      </c>
      <c r="V427" s="203" t="s">
        <v>77</v>
      </c>
      <c r="W427" s="354" t="s">
        <v>198</v>
      </c>
    </row>
    <row r="428" spans="1:23" ht="15.75" x14ac:dyDescent="0.25">
      <c r="A428" s="96"/>
      <c r="B428" s="97"/>
      <c r="C428" s="97"/>
      <c r="D428" s="97"/>
      <c r="E428" s="97"/>
      <c r="F428" s="104"/>
      <c r="G428" s="98"/>
      <c r="H428" s="99"/>
      <c r="I428" s="214">
        <v>2</v>
      </c>
      <c r="J428" s="63"/>
      <c r="K428" s="63"/>
      <c r="L428" s="63"/>
      <c r="M428" s="63"/>
      <c r="N428" s="63"/>
      <c r="O428" s="63"/>
      <c r="P428" s="63"/>
      <c r="Q428" s="63"/>
      <c r="R428" s="63"/>
      <c r="S428" s="251"/>
      <c r="T428" s="247">
        <f t="shared" si="54"/>
        <v>0</v>
      </c>
      <c r="U428" s="93">
        <f t="shared" si="53"/>
        <v>0</v>
      </c>
      <c r="V428" s="203" t="s">
        <v>19</v>
      </c>
      <c r="W428" s="354" t="s">
        <v>369</v>
      </c>
    </row>
    <row r="429" spans="1:23" ht="15.75" x14ac:dyDescent="0.25">
      <c r="A429" s="96"/>
      <c r="B429" s="97"/>
      <c r="C429" s="97"/>
      <c r="D429" s="97"/>
      <c r="E429" s="97"/>
      <c r="F429" s="104"/>
      <c r="G429" s="98"/>
      <c r="H429" s="99"/>
      <c r="I429" s="214"/>
      <c r="J429" s="63"/>
      <c r="K429" s="63"/>
      <c r="L429" s="63"/>
      <c r="M429" s="63"/>
      <c r="N429" s="63"/>
      <c r="O429" s="63"/>
      <c r="P429" s="63"/>
      <c r="Q429" s="63"/>
      <c r="R429" s="63"/>
      <c r="S429" s="251"/>
      <c r="T429" s="247">
        <f t="shared" si="54"/>
        <v>0</v>
      </c>
      <c r="U429" s="93">
        <f t="shared" si="53"/>
        <v>0</v>
      </c>
      <c r="V429" s="203" t="s">
        <v>78</v>
      </c>
      <c r="W429" s="354"/>
    </row>
    <row r="430" spans="1:23" ht="15.75" x14ac:dyDescent="0.25">
      <c r="A430" s="96"/>
      <c r="B430" s="97"/>
      <c r="C430" s="97"/>
      <c r="D430" s="97"/>
      <c r="E430" s="97"/>
      <c r="F430" s="104"/>
      <c r="G430" s="98"/>
      <c r="H430" s="99"/>
      <c r="I430" s="214">
        <v>1</v>
      </c>
      <c r="J430" s="63"/>
      <c r="K430" s="63"/>
      <c r="L430" s="63"/>
      <c r="M430" s="63"/>
      <c r="N430" s="63"/>
      <c r="O430" s="63"/>
      <c r="P430" s="63"/>
      <c r="Q430" s="63"/>
      <c r="R430" s="63"/>
      <c r="S430" s="251"/>
      <c r="T430" s="247">
        <f t="shared" si="54"/>
        <v>0</v>
      </c>
      <c r="U430" s="93">
        <f t="shared" si="53"/>
        <v>0</v>
      </c>
      <c r="V430" s="332" t="s">
        <v>365</v>
      </c>
      <c r="W430" s="354"/>
    </row>
    <row r="431" spans="1:23" ht="15.75" x14ac:dyDescent="0.25">
      <c r="A431" s="96"/>
      <c r="B431" s="97"/>
      <c r="C431" s="97"/>
      <c r="D431" s="97"/>
      <c r="E431" s="104"/>
      <c r="F431" s="104"/>
      <c r="G431" s="98"/>
      <c r="H431" s="99"/>
      <c r="I431" s="214">
        <v>10</v>
      </c>
      <c r="J431" s="63"/>
      <c r="K431" s="63"/>
      <c r="L431" s="63"/>
      <c r="M431" s="63"/>
      <c r="N431" s="63"/>
      <c r="O431" s="63"/>
      <c r="P431" s="63"/>
      <c r="Q431" s="63"/>
      <c r="R431" s="63"/>
      <c r="S431" s="251"/>
      <c r="T431" s="247">
        <f t="shared" si="54"/>
        <v>0</v>
      </c>
      <c r="U431" s="93">
        <f t="shared" si="53"/>
        <v>0</v>
      </c>
      <c r="V431" s="203" t="s">
        <v>12</v>
      </c>
      <c r="W431" s="326"/>
    </row>
    <row r="432" spans="1:23" ht="15.75" x14ac:dyDescent="0.25">
      <c r="A432" s="96"/>
      <c r="B432" s="97"/>
      <c r="C432" s="97"/>
      <c r="D432" s="97"/>
      <c r="E432" s="104"/>
      <c r="F432" s="104"/>
      <c r="G432" s="98"/>
      <c r="H432" s="99"/>
      <c r="I432" s="63">
        <v>3</v>
      </c>
      <c r="J432" s="63">
        <v>3</v>
      </c>
      <c r="K432" s="63"/>
      <c r="L432" s="63"/>
      <c r="M432" s="63"/>
      <c r="N432" s="63"/>
      <c r="O432" s="63"/>
      <c r="P432" s="63"/>
      <c r="Q432" s="63"/>
      <c r="R432" s="63"/>
      <c r="S432" s="251"/>
      <c r="T432" s="247">
        <f t="shared" si="54"/>
        <v>3</v>
      </c>
      <c r="U432" s="93">
        <f t="shared" si="53"/>
        <v>1.4499758337361043E-3</v>
      </c>
      <c r="V432" s="204" t="s">
        <v>164</v>
      </c>
      <c r="W432" s="354"/>
    </row>
    <row r="433" spans="1:23" ht="15.75" x14ac:dyDescent="0.25">
      <c r="A433" s="96"/>
      <c r="B433" s="97"/>
      <c r="C433" s="97"/>
      <c r="D433" s="97"/>
      <c r="E433" s="104"/>
      <c r="F433" s="104"/>
      <c r="G433" s="98"/>
      <c r="H433" s="99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251"/>
      <c r="T433" s="247">
        <f t="shared" si="54"/>
        <v>0</v>
      </c>
      <c r="U433" s="93">
        <f t="shared" si="53"/>
        <v>0</v>
      </c>
      <c r="V433" s="204" t="s">
        <v>318</v>
      </c>
      <c r="W433" s="326"/>
    </row>
    <row r="434" spans="1:23" ht="16.5" thickBot="1" x14ac:dyDescent="0.3">
      <c r="A434" s="96"/>
      <c r="B434" s="97"/>
      <c r="C434" s="97"/>
      <c r="D434" s="97"/>
      <c r="E434" s="104"/>
      <c r="F434" s="104"/>
      <c r="G434" s="98"/>
      <c r="H434" s="107"/>
      <c r="I434" s="100">
        <v>2</v>
      </c>
      <c r="J434" s="100">
        <v>1</v>
      </c>
      <c r="K434" s="100"/>
      <c r="L434" s="100"/>
      <c r="M434" s="100"/>
      <c r="N434" s="100"/>
      <c r="O434" s="100"/>
      <c r="P434" s="100"/>
      <c r="Q434" s="100"/>
      <c r="R434" s="100"/>
      <c r="S434" s="254"/>
      <c r="T434" s="248">
        <f t="shared" si="54"/>
        <v>1</v>
      </c>
      <c r="U434" s="299">
        <f>($T434)/$D$404</f>
        <v>4.833252779120348E-4</v>
      </c>
      <c r="V434" s="357" t="s">
        <v>94</v>
      </c>
      <c r="W434" s="326"/>
    </row>
    <row r="435" spans="1:23" ht="16.5" thickBot="1" x14ac:dyDescent="0.3">
      <c r="A435" s="96"/>
      <c r="B435" s="97"/>
      <c r="C435" s="97"/>
      <c r="D435" s="97"/>
      <c r="E435" s="104"/>
      <c r="F435" s="104"/>
      <c r="G435" s="98"/>
      <c r="H435" s="430"/>
      <c r="I435" s="431"/>
      <c r="J435" s="432"/>
      <c r="K435" s="431"/>
      <c r="L435" s="431"/>
      <c r="M435" s="431"/>
      <c r="N435" s="431"/>
      <c r="O435" s="431"/>
      <c r="P435" s="431"/>
      <c r="Q435" s="431"/>
      <c r="R435" s="431"/>
      <c r="S435" s="431"/>
      <c r="T435" s="433"/>
      <c r="U435" s="433"/>
      <c r="V435" s="441" t="s">
        <v>267</v>
      </c>
      <c r="W435" s="354"/>
    </row>
    <row r="436" spans="1:23" ht="15.75" x14ac:dyDescent="0.25">
      <c r="A436" s="96"/>
      <c r="B436" s="97"/>
      <c r="C436" s="97"/>
      <c r="D436" s="97"/>
      <c r="E436" s="104"/>
      <c r="F436" s="104"/>
      <c r="G436" s="109"/>
      <c r="H436" s="90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250"/>
      <c r="T436" s="249">
        <f t="shared" ref="T436:T445" si="55">SUM(H436,J436,L436,N436,P436,R436,S436)</f>
        <v>0</v>
      </c>
      <c r="U436" s="183">
        <f>($T436)/$D$404</f>
        <v>0</v>
      </c>
      <c r="V436" s="202" t="s">
        <v>89</v>
      </c>
      <c r="W436" s="354" t="s">
        <v>260</v>
      </c>
    </row>
    <row r="437" spans="1:23" ht="15.75" x14ac:dyDescent="0.25">
      <c r="A437" s="96"/>
      <c r="B437" s="97"/>
      <c r="C437" s="97"/>
      <c r="D437" s="97"/>
      <c r="E437" s="104"/>
      <c r="F437" s="104"/>
      <c r="G437" s="109"/>
      <c r="H437" s="99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251"/>
      <c r="T437" s="247">
        <f t="shared" si="55"/>
        <v>0</v>
      </c>
      <c r="U437" s="183">
        <f>($T437)/$D$404</f>
        <v>0</v>
      </c>
      <c r="V437" s="203" t="s">
        <v>83</v>
      </c>
      <c r="W437" s="126" t="s">
        <v>362</v>
      </c>
    </row>
    <row r="438" spans="1:23" x14ac:dyDescent="0.25">
      <c r="A438" s="96"/>
      <c r="B438" s="97"/>
      <c r="C438" s="97"/>
      <c r="D438" s="97"/>
      <c r="E438" s="104"/>
      <c r="F438" s="104"/>
      <c r="G438" s="109"/>
      <c r="H438" s="99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251"/>
      <c r="T438" s="247">
        <f t="shared" si="55"/>
        <v>0</v>
      </c>
      <c r="U438" s="183">
        <f t="shared" ref="U438:U444" si="56">($T438)/$D$404</f>
        <v>0</v>
      </c>
      <c r="V438" s="355" t="s">
        <v>11</v>
      </c>
      <c r="W438" s="326" t="s">
        <v>367</v>
      </c>
    </row>
    <row r="439" spans="1:23" ht="15.75" x14ac:dyDescent="0.25">
      <c r="A439" s="96"/>
      <c r="B439" s="97"/>
      <c r="C439" s="97"/>
      <c r="D439" s="97"/>
      <c r="E439" s="104"/>
      <c r="F439" s="104"/>
      <c r="G439" s="109"/>
      <c r="H439" s="99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251"/>
      <c r="T439" s="247">
        <f t="shared" si="55"/>
        <v>0</v>
      </c>
      <c r="U439" s="183">
        <f t="shared" si="56"/>
        <v>0</v>
      </c>
      <c r="V439" s="203" t="s">
        <v>12</v>
      </c>
      <c r="W439" s="326" t="s">
        <v>366</v>
      </c>
    </row>
    <row r="440" spans="1:23" ht="15.75" x14ac:dyDescent="0.25">
      <c r="A440" s="96"/>
      <c r="B440" s="97"/>
      <c r="C440" s="97"/>
      <c r="D440" s="97"/>
      <c r="E440" s="104"/>
      <c r="F440" s="104"/>
      <c r="G440" s="109"/>
      <c r="H440" s="99">
        <v>10</v>
      </c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251"/>
      <c r="T440" s="247">
        <f t="shared" si="55"/>
        <v>10</v>
      </c>
      <c r="U440" s="183">
        <f t="shared" si="56"/>
        <v>4.8332527791203478E-3</v>
      </c>
      <c r="V440" s="204" t="s">
        <v>85</v>
      </c>
      <c r="W440" s="326" t="s">
        <v>368</v>
      </c>
    </row>
    <row r="441" spans="1:23" ht="15.75" x14ac:dyDescent="0.25">
      <c r="A441" s="96"/>
      <c r="B441" s="97"/>
      <c r="C441" s="97"/>
      <c r="D441" s="97"/>
      <c r="E441" s="104"/>
      <c r="F441" s="104"/>
      <c r="G441" s="109"/>
      <c r="H441" s="99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251"/>
      <c r="T441" s="247">
        <f t="shared" si="55"/>
        <v>0</v>
      </c>
      <c r="U441" s="183">
        <f t="shared" si="56"/>
        <v>0</v>
      </c>
      <c r="V441" s="204" t="s">
        <v>26</v>
      </c>
      <c r="W441" s="326"/>
    </row>
    <row r="442" spans="1:23" ht="15.75" x14ac:dyDescent="0.25">
      <c r="A442" s="96"/>
      <c r="B442" s="97"/>
      <c r="C442" s="97"/>
      <c r="D442" s="97"/>
      <c r="E442" s="104"/>
      <c r="F442" s="104"/>
      <c r="G442" s="109"/>
      <c r="H442" s="107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254"/>
      <c r="T442" s="247">
        <f t="shared" si="55"/>
        <v>0</v>
      </c>
      <c r="U442" s="183">
        <f t="shared" si="56"/>
        <v>0</v>
      </c>
      <c r="V442" s="207" t="s">
        <v>35</v>
      </c>
      <c r="W442" s="326"/>
    </row>
    <row r="443" spans="1:23" ht="15.75" x14ac:dyDescent="0.25">
      <c r="A443" s="96"/>
      <c r="B443" s="97"/>
      <c r="C443" s="97"/>
      <c r="D443" s="97"/>
      <c r="E443" s="104"/>
      <c r="F443" s="104"/>
      <c r="G443" s="109"/>
      <c r="H443" s="107">
        <v>43</v>
      </c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254"/>
      <c r="T443" s="247">
        <f t="shared" si="55"/>
        <v>43</v>
      </c>
      <c r="U443" s="183">
        <f t="shared" si="56"/>
        <v>2.0782986950217495E-2</v>
      </c>
      <c r="V443" s="203" t="s">
        <v>148</v>
      </c>
      <c r="W443" s="429"/>
    </row>
    <row r="444" spans="1:23" ht="15.75" x14ac:dyDescent="0.25">
      <c r="A444" s="96"/>
      <c r="B444" s="97"/>
      <c r="C444" s="97"/>
      <c r="D444" s="97"/>
      <c r="E444" s="104"/>
      <c r="F444" s="104"/>
      <c r="G444" s="109"/>
      <c r="H444" s="107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254"/>
      <c r="T444" s="247">
        <f t="shared" si="55"/>
        <v>0</v>
      </c>
      <c r="U444" s="183">
        <f t="shared" si="56"/>
        <v>0</v>
      </c>
      <c r="V444" s="203" t="s">
        <v>82</v>
      </c>
      <c r="W444" s="326"/>
    </row>
    <row r="445" spans="1:23" ht="16.5" thickBot="1" x14ac:dyDescent="0.3">
      <c r="A445" s="117"/>
      <c r="B445" s="118"/>
      <c r="C445" s="118"/>
      <c r="D445" s="118"/>
      <c r="E445" s="119"/>
      <c r="F445" s="119"/>
      <c r="G445" s="120"/>
      <c r="H445" s="107">
        <v>6</v>
      </c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254"/>
      <c r="T445" s="247">
        <f t="shared" si="55"/>
        <v>6</v>
      </c>
      <c r="U445" s="299">
        <f>($T445)/$D$404</f>
        <v>2.8999516674722086E-3</v>
      </c>
      <c r="V445" s="205" t="s">
        <v>15</v>
      </c>
      <c r="W445" s="352"/>
    </row>
    <row r="446" spans="1:23" ht="15.75" thickBot="1" x14ac:dyDescent="0.3">
      <c r="A446" s="122"/>
      <c r="B446" s="122"/>
      <c r="C446" s="122"/>
      <c r="D446" s="122"/>
      <c r="E446" s="122"/>
      <c r="F446" s="122"/>
      <c r="G446" s="47" t="s">
        <v>4</v>
      </c>
      <c r="H446" s="123">
        <f>SUM(H405:H445)</f>
        <v>149</v>
      </c>
      <c r="I446" s="123">
        <f t="shared" ref="I446:S446" si="57">SUM(I405:I445)</f>
        <v>78</v>
      </c>
      <c r="J446" s="123">
        <f t="shared" si="57"/>
        <v>48</v>
      </c>
      <c r="K446" s="123">
        <f t="shared" si="57"/>
        <v>0</v>
      </c>
      <c r="L446" s="123">
        <f t="shared" si="57"/>
        <v>0</v>
      </c>
      <c r="M446" s="123">
        <f t="shared" si="57"/>
        <v>0</v>
      </c>
      <c r="N446" s="123">
        <f t="shared" si="57"/>
        <v>0</v>
      </c>
      <c r="O446" s="123">
        <f t="shared" si="57"/>
        <v>0</v>
      </c>
      <c r="P446" s="123">
        <f t="shared" si="57"/>
        <v>0</v>
      </c>
      <c r="Q446" s="123">
        <f t="shared" si="57"/>
        <v>0</v>
      </c>
      <c r="R446" s="123">
        <f t="shared" si="57"/>
        <v>0</v>
      </c>
      <c r="S446" s="123">
        <f t="shared" si="57"/>
        <v>48</v>
      </c>
      <c r="T446" s="198">
        <f>SUM(H446,J446,L446,N446,P446,R446,S446)</f>
        <v>245</v>
      </c>
      <c r="U446" s="333">
        <f>($T446)/$D$404</f>
        <v>0.11841469308844853</v>
      </c>
      <c r="V446" s="40"/>
    </row>
    <row r="448" spans="1:23" ht="15.75" thickBot="1" x14ac:dyDescent="0.3"/>
    <row r="449" spans="1:23" ht="75.75" thickBot="1" x14ac:dyDescent="0.3">
      <c r="A449" s="42" t="s">
        <v>22</v>
      </c>
      <c r="B449" s="42" t="s">
        <v>47</v>
      </c>
      <c r="C449" s="43" t="s">
        <v>52</v>
      </c>
      <c r="D449" s="43" t="s">
        <v>17</v>
      </c>
      <c r="E449" s="42" t="s">
        <v>16</v>
      </c>
      <c r="F449" s="44" t="s">
        <v>1</v>
      </c>
      <c r="G449" s="45" t="s">
        <v>23</v>
      </c>
      <c r="H449" s="46" t="s">
        <v>72</v>
      </c>
      <c r="I449" s="46" t="s">
        <v>73</v>
      </c>
      <c r="J449" s="46" t="s">
        <v>53</v>
      </c>
      <c r="K449" s="46" t="s">
        <v>58</v>
      </c>
      <c r="L449" s="46" t="s">
        <v>54</v>
      </c>
      <c r="M449" s="46" t="s">
        <v>59</v>
      </c>
      <c r="N449" s="46" t="s">
        <v>55</v>
      </c>
      <c r="O449" s="46" t="s">
        <v>60</v>
      </c>
      <c r="P449" s="46" t="s">
        <v>56</v>
      </c>
      <c r="Q449" s="46" t="s">
        <v>74</v>
      </c>
      <c r="R449" s="46" t="s">
        <v>115</v>
      </c>
      <c r="S449" s="46" t="s">
        <v>41</v>
      </c>
      <c r="T449" s="46" t="s">
        <v>4</v>
      </c>
      <c r="U449" s="42" t="s">
        <v>2</v>
      </c>
      <c r="V449" s="80" t="s">
        <v>20</v>
      </c>
      <c r="W449" s="81" t="s">
        <v>6</v>
      </c>
    </row>
    <row r="450" spans="1:23" ht="15.75" thickBot="1" x14ac:dyDescent="0.3">
      <c r="A450" s="316">
        <v>1515307</v>
      </c>
      <c r="B450" s="209" t="s">
        <v>110</v>
      </c>
      <c r="C450" s="316">
        <v>1920</v>
      </c>
      <c r="D450" s="316">
        <v>2211</v>
      </c>
      <c r="E450" s="321">
        <v>1850</v>
      </c>
      <c r="F450" s="322">
        <f>E450/D450</f>
        <v>0.8367254635911352</v>
      </c>
      <c r="G450" s="48">
        <v>45362</v>
      </c>
      <c r="H450" s="82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4"/>
      <c r="T450" s="296"/>
      <c r="U450" s="115"/>
      <c r="V450" s="86" t="s">
        <v>75</v>
      </c>
      <c r="W450" s="353" t="s">
        <v>70</v>
      </c>
    </row>
    <row r="451" spans="1:23" ht="15.75" x14ac:dyDescent="0.25">
      <c r="A451" s="87"/>
      <c r="B451" s="88"/>
      <c r="C451" s="88"/>
      <c r="D451" s="88"/>
      <c r="E451" s="88"/>
      <c r="F451" s="88"/>
      <c r="G451" s="89"/>
      <c r="H451" s="90">
        <v>12</v>
      </c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250"/>
      <c r="T451" s="249">
        <f>SUM(H451,J451,L451,N451,P451,R451,S451)</f>
        <v>12</v>
      </c>
      <c r="U451" s="349">
        <f>($T451)/$D$450</f>
        <v>5.4274084124830389E-3</v>
      </c>
      <c r="V451" s="202" t="s">
        <v>15</v>
      </c>
      <c r="W451" s="210" t="s">
        <v>120</v>
      </c>
    </row>
    <row r="452" spans="1:23" ht="15.75" x14ac:dyDescent="0.25">
      <c r="A452" s="96"/>
      <c r="B452" s="97"/>
      <c r="C452" s="97"/>
      <c r="D452" s="97"/>
      <c r="E452" s="97"/>
      <c r="F452" s="97"/>
      <c r="G452" s="98"/>
      <c r="H452" s="348"/>
      <c r="I452" s="111"/>
      <c r="J452" s="111"/>
      <c r="K452" s="111"/>
      <c r="L452" s="111"/>
      <c r="M452" s="111"/>
      <c r="N452" s="111"/>
      <c r="O452" s="111"/>
      <c r="P452" s="111"/>
      <c r="Q452" s="111"/>
      <c r="R452" s="111"/>
      <c r="S452" s="253">
        <v>4</v>
      </c>
      <c r="T452" s="249">
        <f>SUM(H452,J452,L452,N452,P452,R452,S452)</f>
        <v>4</v>
      </c>
      <c r="U452" s="299">
        <f>($T452)/$D$450</f>
        <v>1.8091361374943465E-3</v>
      </c>
      <c r="V452" s="206" t="s">
        <v>43</v>
      </c>
      <c r="W452" s="210" t="s">
        <v>317</v>
      </c>
    </row>
    <row r="453" spans="1:23" ht="15.75" x14ac:dyDescent="0.25">
      <c r="A453" s="96"/>
      <c r="B453" s="97"/>
      <c r="C453" s="97"/>
      <c r="D453" s="97"/>
      <c r="E453" s="97"/>
      <c r="F453" s="97"/>
      <c r="G453" s="98"/>
      <c r="H453" s="99">
        <v>19</v>
      </c>
      <c r="I453" s="63"/>
      <c r="J453" s="63"/>
      <c r="K453" s="63"/>
      <c r="L453" s="63">
        <v>1</v>
      </c>
      <c r="M453" s="63"/>
      <c r="N453" s="63"/>
      <c r="O453" s="63"/>
      <c r="P453" s="63"/>
      <c r="Q453" s="63"/>
      <c r="R453" s="63"/>
      <c r="S453" s="251">
        <v>1</v>
      </c>
      <c r="T453" s="247">
        <f t="shared" ref="T453:T471" si="58">SUM(H453,J453,L453,N453,P453,R453,S453)</f>
        <v>21</v>
      </c>
      <c r="U453" s="299">
        <f t="shared" ref="U453:U467" si="59">($T453)/$D$450</f>
        <v>9.497964721845319E-3</v>
      </c>
      <c r="V453" s="203" t="s">
        <v>5</v>
      </c>
      <c r="W453" s="210" t="s">
        <v>333</v>
      </c>
    </row>
    <row r="454" spans="1:23" ht="15.75" x14ac:dyDescent="0.25">
      <c r="A454" s="96"/>
      <c r="B454" s="97"/>
      <c r="C454" s="97"/>
      <c r="D454" s="97"/>
      <c r="E454" s="104"/>
      <c r="F454" s="104"/>
      <c r="G454" s="98"/>
      <c r="H454" s="99">
        <v>116</v>
      </c>
      <c r="I454" s="63"/>
      <c r="J454" s="63">
        <v>21</v>
      </c>
      <c r="K454" s="63"/>
      <c r="L454" s="63">
        <v>13</v>
      </c>
      <c r="M454" s="63"/>
      <c r="N454" s="63"/>
      <c r="O454" s="63"/>
      <c r="P454" s="63"/>
      <c r="Q454" s="63"/>
      <c r="R454" s="63"/>
      <c r="S454" s="251">
        <v>4</v>
      </c>
      <c r="T454" s="247">
        <f t="shared" si="58"/>
        <v>154</v>
      </c>
      <c r="U454" s="299">
        <f t="shared" si="59"/>
        <v>6.965174129353234E-2</v>
      </c>
      <c r="V454" s="203" t="s">
        <v>13</v>
      </c>
      <c r="W454" s="244"/>
    </row>
    <row r="455" spans="1:23" ht="15.75" x14ac:dyDescent="0.25">
      <c r="A455" s="96"/>
      <c r="B455" s="97"/>
      <c r="C455" s="97"/>
      <c r="D455" s="97"/>
      <c r="E455" s="104"/>
      <c r="F455" s="104"/>
      <c r="G455" s="98"/>
      <c r="H455" s="99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251"/>
      <c r="T455" s="247">
        <f t="shared" si="58"/>
        <v>0</v>
      </c>
      <c r="U455" s="299">
        <f t="shared" si="59"/>
        <v>0</v>
      </c>
      <c r="V455" s="203" t="s">
        <v>14</v>
      </c>
      <c r="W455" s="311"/>
    </row>
    <row r="456" spans="1:23" ht="15.75" x14ac:dyDescent="0.25">
      <c r="A456" s="96"/>
      <c r="B456" s="97"/>
      <c r="C456" s="97"/>
      <c r="D456" s="97"/>
      <c r="E456" s="104"/>
      <c r="F456" s="104"/>
      <c r="G456" s="98"/>
      <c r="H456" s="99">
        <v>52</v>
      </c>
      <c r="I456" s="63"/>
      <c r="J456" s="63">
        <v>3</v>
      </c>
      <c r="K456" s="63"/>
      <c r="L456" s="63"/>
      <c r="M456" s="63"/>
      <c r="N456" s="63"/>
      <c r="O456" s="63"/>
      <c r="P456" s="63"/>
      <c r="Q456" s="63"/>
      <c r="R456" s="63"/>
      <c r="S456" s="251">
        <v>1</v>
      </c>
      <c r="T456" s="247">
        <f t="shared" si="58"/>
        <v>56</v>
      </c>
      <c r="U456" s="299">
        <f t="shared" si="59"/>
        <v>2.5327905924920849E-2</v>
      </c>
      <c r="V456" s="203" t="s">
        <v>30</v>
      </c>
      <c r="W456" s="311"/>
    </row>
    <row r="457" spans="1:23" ht="15.75" x14ac:dyDescent="0.25">
      <c r="A457" s="96"/>
      <c r="B457" s="97"/>
      <c r="C457" s="97"/>
      <c r="D457" s="97"/>
      <c r="E457" s="104"/>
      <c r="F457" s="104"/>
      <c r="G457" s="98"/>
      <c r="H457" s="99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251"/>
      <c r="T457" s="247">
        <f t="shared" si="58"/>
        <v>0</v>
      </c>
      <c r="U457" s="299">
        <f t="shared" si="59"/>
        <v>0</v>
      </c>
      <c r="V457" s="203" t="s">
        <v>31</v>
      </c>
      <c r="W457" s="105"/>
    </row>
    <row r="458" spans="1:23" ht="15.75" x14ac:dyDescent="0.25">
      <c r="A458" s="96"/>
      <c r="B458" s="97"/>
      <c r="C458" s="97"/>
      <c r="D458" s="97"/>
      <c r="E458" s="104"/>
      <c r="F458" s="104"/>
      <c r="G458" s="98"/>
      <c r="H458" s="99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251"/>
      <c r="T458" s="247">
        <f t="shared" si="58"/>
        <v>0</v>
      </c>
      <c r="U458" s="299">
        <f t="shared" si="59"/>
        <v>0</v>
      </c>
      <c r="V458" s="203" t="s">
        <v>168</v>
      </c>
      <c r="W458" s="323"/>
    </row>
    <row r="459" spans="1:23" ht="15.75" x14ac:dyDescent="0.25">
      <c r="A459" s="96"/>
      <c r="B459" s="97"/>
      <c r="C459" s="97"/>
      <c r="D459" s="97"/>
      <c r="E459" s="104"/>
      <c r="F459" s="104"/>
      <c r="G459" s="98"/>
      <c r="H459" s="99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251"/>
      <c r="T459" s="247">
        <f t="shared" si="58"/>
        <v>0</v>
      </c>
      <c r="U459" s="299">
        <f t="shared" si="59"/>
        <v>0</v>
      </c>
      <c r="V459" s="204" t="s">
        <v>202</v>
      </c>
      <c r="W459" s="105"/>
    </row>
    <row r="460" spans="1:23" ht="15.75" x14ac:dyDescent="0.25">
      <c r="A460" s="96"/>
      <c r="B460" s="97"/>
      <c r="C460" s="97"/>
      <c r="D460" s="97"/>
      <c r="E460" s="104"/>
      <c r="F460" s="104"/>
      <c r="G460" s="98"/>
      <c r="H460" s="99">
        <v>3</v>
      </c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251">
        <v>2</v>
      </c>
      <c r="T460" s="247">
        <f t="shared" si="58"/>
        <v>5</v>
      </c>
      <c r="U460" s="299">
        <f t="shared" si="59"/>
        <v>2.2614201718679332E-3</v>
      </c>
      <c r="V460" s="203" t="s">
        <v>0</v>
      </c>
      <c r="W460" s="354"/>
    </row>
    <row r="461" spans="1:23" ht="15.75" x14ac:dyDescent="0.25">
      <c r="A461" s="96"/>
      <c r="B461" s="97"/>
      <c r="C461" s="97"/>
      <c r="D461" s="97"/>
      <c r="E461" s="104"/>
      <c r="F461" s="104"/>
      <c r="G461" s="98"/>
      <c r="H461" s="99">
        <v>11</v>
      </c>
      <c r="I461" s="63"/>
      <c r="J461" s="63"/>
      <c r="K461" s="63"/>
      <c r="L461" s="63">
        <v>3</v>
      </c>
      <c r="M461" s="63"/>
      <c r="N461" s="63"/>
      <c r="O461" s="63"/>
      <c r="P461" s="63"/>
      <c r="Q461" s="63"/>
      <c r="R461" s="63"/>
      <c r="S461" s="251">
        <v>4</v>
      </c>
      <c r="T461" s="247">
        <f t="shared" si="58"/>
        <v>18</v>
      </c>
      <c r="U461" s="299">
        <f t="shared" si="59"/>
        <v>8.1411126187245584E-3</v>
      </c>
      <c r="V461" s="203" t="s">
        <v>11</v>
      </c>
      <c r="W461" s="354"/>
    </row>
    <row r="462" spans="1:23" ht="15.75" x14ac:dyDescent="0.25">
      <c r="A462" s="96"/>
      <c r="B462" s="97"/>
      <c r="C462" s="97"/>
      <c r="D462" s="97"/>
      <c r="E462" s="104"/>
      <c r="F462" s="104" t="s">
        <v>100</v>
      </c>
      <c r="G462" s="98"/>
      <c r="H462" s="99">
        <v>25</v>
      </c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251">
        <v>8</v>
      </c>
      <c r="T462" s="247">
        <f t="shared" si="58"/>
        <v>33</v>
      </c>
      <c r="U462" s="299">
        <f t="shared" si="59"/>
        <v>1.4925373134328358E-2</v>
      </c>
      <c r="V462" s="203" t="s">
        <v>33</v>
      </c>
      <c r="W462" s="326"/>
    </row>
    <row r="463" spans="1:23" ht="15.75" x14ac:dyDescent="0.25">
      <c r="A463" s="96"/>
      <c r="B463" s="97"/>
      <c r="C463" s="97"/>
      <c r="D463" s="97"/>
      <c r="E463" s="104"/>
      <c r="F463" s="104"/>
      <c r="G463" s="98"/>
      <c r="H463" s="99"/>
      <c r="I463" s="63"/>
      <c r="J463" s="63"/>
      <c r="K463" s="63"/>
      <c r="L463" s="63">
        <v>10</v>
      </c>
      <c r="M463" s="63"/>
      <c r="N463" s="63"/>
      <c r="O463" s="63"/>
      <c r="P463" s="63"/>
      <c r="Q463" s="63"/>
      <c r="R463" s="63"/>
      <c r="S463" s="251"/>
      <c r="T463" s="247">
        <f t="shared" si="58"/>
        <v>10</v>
      </c>
      <c r="U463" s="299">
        <f t="shared" si="59"/>
        <v>4.5228403437358664E-3</v>
      </c>
      <c r="V463" s="204" t="s">
        <v>27</v>
      </c>
      <c r="W463" s="354"/>
    </row>
    <row r="464" spans="1:23" ht="15.75" x14ac:dyDescent="0.25">
      <c r="A464" s="96"/>
      <c r="B464" s="97"/>
      <c r="C464" s="97"/>
      <c r="D464" s="97"/>
      <c r="E464" s="104"/>
      <c r="F464" s="104"/>
      <c r="G464" s="109"/>
      <c r="H464" s="110">
        <v>3</v>
      </c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251"/>
      <c r="T464" s="247">
        <f t="shared" si="58"/>
        <v>3</v>
      </c>
      <c r="U464" s="299">
        <f t="shared" si="59"/>
        <v>1.3568521031207597E-3</v>
      </c>
      <c r="V464" s="204" t="s">
        <v>26</v>
      </c>
      <c r="W464" s="212"/>
    </row>
    <row r="465" spans="1:23" ht="15.75" x14ac:dyDescent="0.25">
      <c r="A465" s="96"/>
      <c r="B465" s="97"/>
      <c r="C465" s="97"/>
      <c r="D465" s="97"/>
      <c r="E465" s="104"/>
      <c r="F465" s="104"/>
      <c r="G465" s="109"/>
      <c r="H465" s="110"/>
      <c r="I465" s="63"/>
      <c r="J465" s="63"/>
      <c r="K465" s="63"/>
      <c r="L465" s="63">
        <v>1</v>
      </c>
      <c r="M465" s="63"/>
      <c r="N465" s="63"/>
      <c r="O465" s="63"/>
      <c r="P465" s="63"/>
      <c r="Q465" s="63"/>
      <c r="R465" s="63"/>
      <c r="S465" s="251"/>
      <c r="T465" s="247">
        <f t="shared" ref="T465" si="60">SUM(H465,J465,L465,N465,P465,R465,S465)</f>
        <v>1</v>
      </c>
      <c r="U465" s="299">
        <f t="shared" si="59"/>
        <v>4.5228403437358661E-4</v>
      </c>
      <c r="V465" s="204" t="s">
        <v>85</v>
      </c>
      <c r="W465" s="212"/>
    </row>
    <row r="466" spans="1:23" ht="15.75" x14ac:dyDescent="0.25">
      <c r="A466" s="96"/>
      <c r="B466" s="97"/>
      <c r="C466" s="97"/>
      <c r="D466" s="97"/>
      <c r="E466" s="104"/>
      <c r="F466" s="104"/>
      <c r="G466" s="109"/>
      <c r="H466" s="110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251"/>
      <c r="T466" s="247">
        <f t="shared" si="58"/>
        <v>0</v>
      </c>
      <c r="U466" s="299">
        <f t="shared" si="59"/>
        <v>0</v>
      </c>
      <c r="V466" s="204" t="s">
        <v>71</v>
      </c>
      <c r="W466" s="103"/>
    </row>
    <row r="467" spans="1:23" ht="15.75" x14ac:dyDescent="0.25">
      <c r="A467" s="96"/>
      <c r="B467" s="97"/>
      <c r="C467" s="97"/>
      <c r="D467" s="97"/>
      <c r="E467" s="104"/>
      <c r="F467" s="104"/>
      <c r="G467" s="109"/>
      <c r="H467" s="464"/>
      <c r="I467" s="100"/>
      <c r="J467" s="100">
        <v>1</v>
      </c>
      <c r="K467" s="100"/>
      <c r="L467" s="100"/>
      <c r="M467" s="100"/>
      <c r="N467" s="100"/>
      <c r="O467" s="100"/>
      <c r="P467" s="100"/>
      <c r="Q467" s="100"/>
      <c r="R467" s="100"/>
      <c r="S467" s="254">
        <v>4</v>
      </c>
      <c r="T467" s="247">
        <f t="shared" si="58"/>
        <v>5</v>
      </c>
      <c r="U467" s="299">
        <f t="shared" si="59"/>
        <v>2.2614201718679332E-3</v>
      </c>
      <c r="V467" s="204" t="s">
        <v>363</v>
      </c>
      <c r="W467" s="103"/>
    </row>
    <row r="468" spans="1:23" ht="16.5" thickBot="1" x14ac:dyDescent="0.3">
      <c r="A468" s="96"/>
      <c r="B468" s="97"/>
      <c r="C468" s="97"/>
      <c r="D468" s="97"/>
      <c r="E468" s="104"/>
      <c r="F468" s="104"/>
      <c r="G468" s="109"/>
      <c r="H468" s="186"/>
      <c r="I468" s="187"/>
      <c r="J468" s="187">
        <v>3</v>
      </c>
      <c r="K468" s="187"/>
      <c r="L468" s="187"/>
      <c r="M468" s="187"/>
      <c r="N468" s="187"/>
      <c r="O468" s="187"/>
      <c r="P468" s="187"/>
      <c r="Q468" s="187"/>
      <c r="R468" s="187"/>
      <c r="S468" s="252"/>
      <c r="T468" s="248">
        <f t="shared" si="58"/>
        <v>3</v>
      </c>
      <c r="U468" s="245">
        <f>($T468)/$D$450</f>
        <v>1.3568521031207597E-3</v>
      </c>
      <c r="V468" s="205" t="s">
        <v>364</v>
      </c>
      <c r="W468" s="212"/>
    </row>
    <row r="469" spans="1:23" ht="15.75" x14ac:dyDescent="0.25">
      <c r="A469" s="96"/>
      <c r="B469" s="97"/>
      <c r="C469" s="97"/>
      <c r="D469" s="97"/>
      <c r="E469" s="104"/>
      <c r="F469" s="104"/>
      <c r="G469" s="98"/>
      <c r="H469" s="90"/>
      <c r="I469" s="111">
        <v>2</v>
      </c>
      <c r="J469" s="111"/>
      <c r="K469" s="111"/>
      <c r="L469" s="111"/>
      <c r="M469" s="111"/>
      <c r="N469" s="111"/>
      <c r="O469" s="111"/>
      <c r="P469" s="111"/>
      <c r="Q469" s="111"/>
      <c r="R469" s="111"/>
      <c r="S469" s="253"/>
      <c r="T469" s="249">
        <f t="shared" si="58"/>
        <v>0</v>
      </c>
      <c r="U469" s="183">
        <f>($T469)/$D$450</f>
        <v>0</v>
      </c>
      <c r="V469" s="206" t="s">
        <v>10</v>
      </c>
      <c r="W469" s="106"/>
    </row>
    <row r="470" spans="1:23" ht="15.75" x14ac:dyDescent="0.25">
      <c r="A470" s="96"/>
      <c r="B470" s="97"/>
      <c r="C470" s="97"/>
      <c r="D470" s="97"/>
      <c r="E470" s="104"/>
      <c r="F470" s="104"/>
      <c r="G470" s="98"/>
      <c r="H470" s="99"/>
      <c r="I470" s="213"/>
      <c r="J470" s="63"/>
      <c r="K470" s="63"/>
      <c r="L470" s="63"/>
      <c r="M470" s="63"/>
      <c r="N470" s="63"/>
      <c r="O470" s="63"/>
      <c r="P470" s="63"/>
      <c r="Q470" s="63"/>
      <c r="R470" s="63"/>
      <c r="S470" s="251"/>
      <c r="T470" s="247">
        <f t="shared" si="58"/>
        <v>0</v>
      </c>
      <c r="U470" s="93">
        <f>($T470)/$D$450</f>
        <v>0</v>
      </c>
      <c r="V470" s="331" t="s">
        <v>94</v>
      </c>
      <c r="W470" s="106"/>
    </row>
    <row r="471" spans="1:23" ht="15.75" x14ac:dyDescent="0.25">
      <c r="A471" s="96"/>
      <c r="B471" s="97"/>
      <c r="C471" s="97"/>
      <c r="D471" s="97"/>
      <c r="E471" s="104"/>
      <c r="F471" s="104"/>
      <c r="G471" s="98"/>
      <c r="H471" s="99"/>
      <c r="I471" s="214">
        <v>4</v>
      </c>
      <c r="J471" s="63"/>
      <c r="K471" s="63"/>
      <c r="L471" s="63"/>
      <c r="M471" s="63"/>
      <c r="N471" s="63"/>
      <c r="O471" s="63"/>
      <c r="P471" s="63"/>
      <c r="Q471" s="63"/>
      <c r="R471" s="63"/>
      <c r="S471" s="251">
        <v>9</v>
      </c>
      <c r="T471" s="247">
        <f t="shared" si="58"/>
        <v>9</v>
      </c>
      <c r="U471" s="93">
        <f t="shared" ref="U471:U482" si="61">($T471)/$D$450</f>
        <v>4.0705563093622792E-3</v>
      </c>
      <c r="V471" s="203" t="s">
        <v>3</v>
      </c>
      <c r="W471" s="105"/>
    </row>
    <row r="472" spans="1:23" ht="15.75" x14ac:dyDescent="0.25">
      <c r="A472" s="96"/>
      <c r="B472" s="97"/>
      <c r="C472" s="97"/>
      <c r="D472" s="97"/>
      <c r="E472" s="97"/>
      <c r="F472" s="104"/>
      <c r="G472" s="98"/>
      <c r="H472" s="99"/>
      <c r="I472" s="214">
        <v>2</v>
      </c>
      <c r="J472" s="63"/>
      <c r="K472" s="63"/>
      <c r="L472" s="63"/>
      <c r="M472" s="63"/>
      <c r="N472" s="63"/>
      <c r="O472" s="63"/>
      <c r="P472" s="63"/>
      <c r="Q472" s="63"/>
      <c r="R472" s="63"/>
      <c r="S472" s="251"/>
      <c r="T472" s="247">
        <f>SUM(H472,J472,L472,N472,P472,R472,S472)</f>
        <v>0</v>
      </c>
      <c r="U472" s="93">
        <f t="shared" si="61"/>
        <v>0</v>
      </c>
      <c r="V472" s="203" t="s">
        <v>7</v>
      </c>
      <c r="W472" s="106"/>
    </row>
    <row r="473" spans="1:23" ht="15.75" x14ac:dyDescent="0.25">
      <c r="A473" s="96"/>
      <c r="B473" s="97"/>
      <c r="C473" s="97"/>
      <c r="D473" s="97"/>
      <c r="E473" s="97"/>
      <c r="F473" s="104"/>
      <c r="G473" s="98"/>
      <c r="H473" s="99"/>
      <c r="I473" s="214">
        <v>10</v>
      </c>
      <c r="J473" s="63"/>
      <c r="K473" s="63">
        <v>28</v>
      </c>
      <c r="L473" s="63">
        <v>2</v>
      </c>
      <c r="M473" s="63"/>
      <c r="N473" s="63"/>
      <c r="O473" s="63"/>
      <c r="P473" s="63"/>
      <c r="Q473" s="63"/>
      <c r="R473" s="63"/>
      <c r="S473" s="251"/>
      <c r="T473" s="247">
        <f t="shared" ref="T473:T483" si="62">SUM(H473,J473,L473,N473,P473,R473,S473)</f>
        <v>2</v>
      </c>
      <c r="U473" s="93">
        <f t="shared" si="61"/>
        <v>9.0456806874717323E-4</v>
      </c>
      <c r="V473" s="203" t="s">
        <v>8</v>
      </c>
      <c r="W473" s="354"/>
    </row>
    <row r="474" spans="1:23" ht="15.75" x14ac:dyDescent="0.25">
      <c r="A474" s="96"/>
      <c r="B474" s="97"/>
      <c r="C474" s="97"/>
      <c r="D474" s="97"/>
      <c r="E474" s="97"/>
      <c r="F474" s="104"/>
      <c r="G474" s="98"/>
      <c r="H474" s="99"/>
      <c r="I474" s="214"/>
      <c r="J474" s="63"/>
      <c r="K474" s="63"/>
      <c r="L474" s="63"/>
      <c r="M474" s="63"/>
      <c r="N474" s="63"/>
      <c r="O474" s="63"/>
      <c r="P474" s="63"/>
      <c r="Q474" s="63"/>
      <c r="R474" s="63"/>
      <c r="S474" s="251"/>
      <c r="T474" s="247">
        <f t="shared" si="62"/>
        <v>0</v>
      </c>
      <c r="U474" s="93">
        <f t="shared" si="61"/>
        <v>0</v>
      </c>
      <c r="V474" s="203" t="s">
        <v>77</v>
      </c>
      <c r="W474" s="354" t="s">
        <v>401</v>
      </c>
    </row>
    <row r="475" spans="1:23" ht="15.75" x14ac:dyDescent="0.25">
      <c r="A475" s="96"/>
      <c r="B475" s="97"/>
      <c r="C475" s="97"/>
      <c r="D475" s="97"/>
      <c r="E475" s="97"/>
      <c r="F475" s="104"/>
      <c r="G475" s="98"/>
      <c r="H475" s="99"/>
      <c r="I475" s="214"/>
      <c r="J475" s="63"/>
      <c r="K475" s="63"/>
      <c r="L475" s="63"/>
      <c r="M475" s="63"/>
      <c r="N475" s="63"/>
      <c r="O475" s="63"/>
      <c r="P475" s="63"/>
      <c r="Q475" s="63"/>
      <c r="R475" s="63"/>
      <c r="S475" s="251"/>
      <c r="T475" s="247">
        <f t="shared" si="62"/>
        <v>0</v>
      </c>
      <c r="U475" s="93">
        <f t="shared" si="61"/>
        <v>0</v>
      </c>
      <c r="V475" s="203" t="s">
        <v>19</v>
      </c>
      <c r="W475" s="354" t="s">
        <v>400</v>
      </c>
    </row>
    <row r="476" spans="1:23" ht="15.75" x14ac:dyDescent="0.25">
      <c r="A476" s="96"/>
      <c r="B476" s="97"/>
      <c r="C476" s="97"/>
      <c r="D476" s="97"/>
      <c r="E476" s="97"/>
      <c r="F476" s="104"/>
      <c r="G476" s="98"/>
      <c r="H476" s="99"/>
      <c r="I476" s="214"/>
      <c r="J476" s="63"/>
      <c r="K476" s="63"/>
      <c r="L476" s="63"/>
      <c r="M476" s="63"/>
      <c r="N476" s="63"/>
      <c r="O476" s="63"/>
      <c r="P476" s="63"/>
      <c r="Q476" s="63"/>
      <c r="R476" s="63"/>
      <c r="S476" s="251"/>
      <c r="T476" s="247">
        <f t="shared" si="62"/>
        <v>0</v>
      </c>
      <c r="U476" s="93">
        <f t="shared" si="61"/>
        <v>0</v>
      </c>
      <c r="V476" s="203" t="s">
        <v>78</v>
      </c>
      <c r="W476" s="354"/>
    </row>
    <row r="477" spans="1:23" ht="15.75" x14ac:dyDescent="0.25">
      <c r="A477" s="96"/>
      <c r="B477" s="97"/>
      <c r="C477" s="97"/>
      <c r="D477" s="97"/>
      <c r="E477" s="97"/>
      <c r="F477" s="104"/>
      <c r="G477" s="98"/>
      <c r="H477" s="99"/>
      <c r="I477" s="214"/>
      <c r="J477" s="63"/>
      <c r="K477" s="63"/>
      <c r="L477" s="63"/>
      <c r="M477" s="63"/>
      <c r="N477" s="63"/>
      <c r="O477" s="63"/>
      <c r="P477" s="63"/>
      <c r="Q477" s="63"/>
      <c r="R477" s="63"/>
      <c r="S477" s="251">
        <v>1</v>
      </c>
      <c r="T477" s="247">
        <f t="shared" si="62"/>
        <v>1</v>
      </c>
      <c r="U477" s="93">
        <f t="shared" si="61"/>
        <v>4.5228403437358661E-4</v>
      </c>
      <c r="V477" s="332" t="s">
        <v>365</v>
      </c>
      <c r="W477" s="354"/>
    </row>
    <row r="478" spans="1:23" ht="15.75" x14ac:dyDescent="0.25">
      <c r="A478" s="96"/>
      <c r="B478" s="97"/>
      <c r="C478" s="97"/>
      <c r="D478" s="97"/>
      <c r="E478" s="104"/>
      <c r="F478" s="104"/>
      <c r="G478" s="98"/>
      <c r="H478" s="99"/>
      <c r="I478" s="214">
        <v>17</v>
      </c>
      <c r="J478" s="63"/>
      <c r="K478" s="63">
        <v>4</v>
      </c>
      <c r="L478" s="63"/>
      <c r="M478" s="63"/>
      <c r="N478" s="63"/>
      <c r="O478" s="63"/>
      <c r="P478" s="63"/>
      <c r="Q478" s="63"/>
      <c r="R478" s="63"/>
      <c r="S478" s="251">
        <v>1</v>
      </c>
      <c r="T478" s="247">
        <f>SUM(H478,J478,L478,N478,P478,R478,S478)</f>
        <v>1</v>
      </c>
      <c r="U478" s="93">
        <f t="shared" si="61"/>
        <v>4.5228403437358661E-4</v>
      </c>
      <c r="V478" s="203" t="s">
        <v>12</v>
      </c>
      <c r="W478" s="326"/>
    </row>
    <row r="479" spans="1:23" ht="15.75" x14ac:dyDescent="0.25">
      <c r="A479" s="96"/>
      <c r="B479" s="97"/>
      <c r="C479" s="97"/>
      <c r="D479" s="97"/>
      <c r="E479" s="104"/>
      <c r="F479" s="104"/>
      <c r="G479" s="98"/>
      <c r="H479" s="99"/>
      <c r="I479" s="63">
        <v>7</v>
      </c>
      <c r="J479" s="63"/>
      <c r="K479" s="63"/>
      <c r="L479" s="63"/>
      <c r="M479" s="63"/>
      <c r="N479" s="63"/>
      <c r="O479" s="63"/>
      <c r="P479" s="63"/>
      <c r="Q479" s="63"/>
      <c r="R479" s="63"/>
      <c r="S479" s="251"/>
      <c r="T479" s="247">
        <f t="shared" si="62"/>
        <v>0</v>
      </c>
      <c r="U479" s="93">
        <f t="shared" si="61"/>
        <v>0</v>
      </c>
      <c r="V479" s="204" t="s">
        <v>164</v>
      </c>
      <c r="W479" s="354"/>
    </row>
    <row r="480" spans="1:23" ht="15.75" x14ac:dyDescent="0.25">
      <c r="A480" s="96"/>
      <c r="B480" s="97"/>
      <c r="C480" s="97"/>
      <c r="D480" s="97"/>
      <c r="E480" s="104"/>
      <c r="F480" s="104"/>
      <c r="G480" s="98"/>
      <c r="H480" s="99"/>
      <c r="I480" s="63">
        <v>2</v>
      </c>
      <c r="J480" s="63"/>
      <c r="K480" s="63"/>
      <c r="L480" s="63"/>
      <c r="M480" s="63"/>
      <c r="N480" s="63"/>
      <c r="O480" s="63"/>
      <c r="P480" s="63"/>
      <c r="Q480" s="63"/>
      <c r="R480" s="63"/>
      <c r="S480" s="251"/>
      <c r="T480" s="247">
        <f t="shared" ref="T480" si="63">SUM(H480,J480,L480,N480,P480,R480,S480)</f>
        <v>0</v>
      </c>
      <c r="U480" s="93">
        <f t="shared" si="61"/>
        <v>0</v>
      </c>
      <c r="V480" s="204" t="s">
        <v>375</v>
      </c>
      <c r="W480" s="478"/>
    </row>
    <row r="481" spans="1:23" ht="15.75" x14ac:dyDescent="0.25">
      <c r="A481" s="96"/>
      <c r="B481" s="97"/>
      <c r="C481" s="97"/>
      <c r="D481" s="97"/>
      <c r="E481" s="104"/>
      <c r="F481" s="104"/>
      <c r="G481" s="98"/>
      <c r="H481" s="99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251">
        <v>1</v>
      </c>
      <c r="T481" s="247">
        <f t="shared" si="62"/>
        <v>1</v>
      </c>
      <c r="U481" s="93">
        <f t="shared" si="61"/>
        <v>4.5228403437358661E-4</v>
      </c>
      <c r="V481" s="204" t="s">
        <v>318</v>
      </c>
      <c r="W481" s="326"/>
    </row>
    <row r="482" spans="1:23" ht="15.75" x14ac:dyDescent="0.25">
      <c r="A482" s="96"/>
      <c r="B482" s="97"/>
      <c r="C482" s="97"/>
      <c r="D482" s="97"/>
      <c r="E482" s="104"/>
      <c r="F482" s="104"/>
      <c r="G482" s="98"/>
      <c r="H482" s="107"/>
      <c r="I482" s="100">
        <v>1</v>
      </c>
      <c r="J482" s="100"/>
      <c r="K482" s="100"/>
      <c r="L482" s="100"/>
      <c r="M482" s="100"/>
      <c r="N482" s="100"/>
      <c r="O482" s="100"/>
      <c r="P482" s="100"/>
      <c r="Q482" s="100"/>
      <c r="R482" s="100"/>
      <c r="S482" s="254"/>
      <c r="T482" s="247">
        <f t="shared" ref="T482" si="64">SUM(H482,J482,L482,N482,P482,R482,S482)</f>
        <v>0</v>
      </c>
      <c r="U482" s="93">
        <f t="shared" si="61"/>
        <v>0</v>
      </c>
      <c r="V482" s="479" t="s">
        <v>92</v>
      </c>
      <c r="W482" s="326"/>
    </row>
    <row r="483" spans="1:23" ht="16.5" thickBot="1" x14ac:dyDescent="0.3">
      <c r="A483" s="96"/>
      <c r="B483" s="97"/>
      <c r="C483" s="97"/>
      <c r="D483" s="97"/>
      <c r="E483" s="104"/>
      <c r="F483" s="104"/>
      <c r="G483" s="98"/>
      <c r="H483" s="107"/>
      <c r="I483" s="100">
        <v>1</v>
      </c>
      <c r="J483" s="100"/>
      <c r="K483" s="100"/>
      <c r="L483" s="100"/>
      <c r="M483" s="100"/>
      <c r="N483" s="100"/>
      <c r="O483" s="100"/>
      <c r="P483" s="100"/>
      <c r="Q483" s="100"/>
      <c r="R483" s="100"/>
      <c r="S483" s="254"/>
      <c r="T483" s="589">
        <f t="shared" si="62"/>
        <v>0</v>
      </c>
      <c r="U483" s="299">
        <f>($T483)/$D$450</f>
        <v>0</v>
      </c>
      <c r="V483" s="357" t="s">
        <v>94</v>
      </c>
      <c r="W483" s="326"/>
    </row>
    <row r="484" spans="1:23" ht="16.5" thickBot="1" x14ac:dyDescent="0.3">
      <c r="A484" s="96"/>
      <c r="B484" s="97"/>
      <c r="C484" s="97"/>
      <c r="D484" s="97"/>
      <c r="E484" s="104"/>
      <c r="F484" s="104"/>
      <c r="G484" s="98"/>
      <c r="H484" s="430"/>
      <c r="I484" s="431"/>
      <c r="J484" s="432"/>
      <c r="K484" s="431"/>
      <c r="L484" s="431"/>
      <c r="M484" s="431"/>
      <c r="N484" s="431"/>
      <c r="O484" s="431"/>
      <c r="P484" s="431"/>
      <c r="Q484" s="431"/>
      <c r="R484" s="431"/>
      <c r="S484" s="431"/>
      <c r="T484" s="433"/>
      <c r="U484" s="433"/>
      <c r="V484" s="441" t="s">
        <v>267</v>
      </c>
      <c r="W484" s="354"/>
    </row>
    <row r="485" spans="1:23" ht="15.75" x14ac:dyDescent="0.25">
      <c r="A485" s="96"/>
      <c r="B485" s="97"/>
      <c r="C485" s="97"/>
      <c r="D485" s="97"/>
      <c r="E485" s="104"/>
      <c r="F485" s="104"/>
      <c r="G485" s="109"/>
      <c r="H485" s="90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250"/>
      <c r="T485" s="249">
        <f t="shared" ref="T485:T494" si="65">SUM(H485,J485,L485,N485,P485,R485,S485)</f>
        <v>0</v>
      </c>
      <c r="U485" s="183">
        <f>($T485)/$D$450</f>
        <v>0</v>
      </c>
      <c r="V485" s="202" t="s">
        <v>89</v>
      </c>
      <c r="W485" s="354" t="s">
        <v>399</v>
      </c>
    </row>
    <row r="486" spans="1:23" ht="15.75" x14ac:dyDescent="0.25">
      <c r="A486" s="96"/>
      <c r="B486" s="97"/>
      <c r="C486" s="97"/>
      <c r="D486" s="97"/>
      <c r="E486" s="104"/>
      <c r="F486" s="104"/>
      <c r="G486" s="109"/>
      <c r="H486" s="99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251"/>
      <c r="T486" s="247">
        <f t="shared" si="65"/>
        <v>0</v>
      </c>
      <c r="U486" s="183">
        <f>($T486)/$D$450</f>
        <v>0</v>
      </c>
      <c r="V486" s="203" t="s">
        <v>83</v>
      </c>
      <c r="W486" s="326" t="s">
        <v>394</v>
      </c>
    </row>
    <row r="487" spans="1:23" x14ac:dyDescent="0.25">
      <c r="A487" s="96"/>
      <c r="B487" s="97"/>
      <c r="C487" s="97"/>
      <c r="D487" s="97"/>
      <c r="E487" s="104"/>
      <c r="F487" s="104"/>
      <c r="G487" s="109"/>
      <c r="H487" s="99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251"/>
      <c r="T487" s="247">
        <f t="shared" si="65"/>
        <v>0</v>
      </c>
      <c r="U487" s="183">
        <f t="shared" ref="U487:U493" si="66">($T487)/$D$450</f>
        <v>0</v>
      </c>
      <c r="V487" s="355" t="s">
        <v>11</v>
      </c>
      <c r="W487" s="326" t="s">
        <v>214</v>
      </c>
    </row>
    <row r="488" spans="1:23" ht="15.75" x14ac:dyDescent="0.25">
      <c r="A488" s="96"/>
      <c r="B488" s="97"/>
      <c r="C488" s="97"/>
      <c r="D488" s="97"/>
      <c r="E488" s="104"/>
      <c r="F488" s="104"/>
      <c r="G488" s="109"/>
      <c r="H488" s="99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251"/>
      <c r="T488" s="247">
        <f t="shared" si="65"/>
        <v>0</v>
      </c>
      <c r="U488" s="183">
        <f t="shared" si="66"/>
        <v>0</v>
      </c>
      <c r="V488" s="203" t="s">
        <v>12</v>
      </c>
      <c r="W488" s="126" t="s">
        <v>398</v>
      </c>
    </row>
    <row r="489" spans="1:23" ht="15.75" x14ac:dyDescent="0.25">
      <c r="A489" s="96"/>
      <c r="B489" s="97"/>
      <c r="C489" s="97"/>
      <c r="D489" s="97"/>
      <c r="E489" s="104"/>
      <c r="F489" s="104"/>
      <c r="G489" s="109"/>
      <c r="H489" s="99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251"/>
      <c r="T489" s="247">
        <f t="shared" si="65"/>
        <v>0</v>
      </c>
      <c r="U489" s="183">
        <f t="shared" si="66"/>
        <v>0</v>
      </c>
      <c r="V489" s="204" t="s">
        <v>85</v>
      </c>
      <c r="W489" s="326" t="s">
        <v>397</v>
      </c>
    </row>
    <row r="490" spans="1:23" ht="15.75" x14ac:dyDescent="0.25">
      <c r="A490" s="96"/>
      <c r="B490" s="97"/>
      <c r="C490" s="97"/>
      <c r="D490" s="97"/>
      <c r="E490" s="104"/>
      <c r="F490" s="104"/>
      <c r="G490" s="109"/>
      <c r="H490" s="99">
        <v>2</v>
      </c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251"/>
      <c r="T490" s="247">
        <f t="shared" si="65"/>
        <v>2</v>
      </c>
      <c r="U490" s="183">
        <f t="shared" si="66"/>
        <v>9.0456806874717323E-4</v>
      </c>
      <c r="V490" s="204" t="s">
        <v>26</v>
      </c>
      <c r="W490" s="326" t="s">
        <v>396</v>
      </c>
    </row>
    <row r="491" spans="1:23" ht="15.75" x14ac:dyDescent="0.25">
      <c r="A491" s="96"/>
      <c r="B491" s="97"/>
      <c r="C491" s="97"/>
      <c r="D491" s="97"/>
      <c r="E491" s="104"/>
      <c r="F491" s="104"/>
      <c r="G491" s="109"/>
      <c r="H491" s="107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254"/>
      <c r="T491" s="247">
        <f t="shared" si="65"/>
        <v>0</v>
      </c>
      <c r="U491" s="183">
        <f t="shared" si="66"/>
        <v>0</v>
      </c>
      <c r="V491" s="207" t="s">
        <v>35</v>
      </c>
      <c r="W491" s="126"/>
    </row>
    <row r="492" spans="1:23" ht="15.75" x14ac:dyDescent="0.25">
      <c r="A492" s="96"/>
      <c r="B492" s="97"/>
      <c r="C492" s="97"/>
      <c r="D492" s="97"/>
      <c r="E492" s="104"/>
      <c r="F492" s="104"/>
      <c r="G492" s="109"/>
      <c r="H492" s="107">
        <v>20</v>
      </c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254"/>
      <c r="T492" s="247">
        <f t="shared" si="65"/>
        <v>20</v>
      </c>
      <c r="U492" s="183">
        <f t="shared" si="66"/>
        <v>9.0456806874717327E-3</v>
      </c>
      <c r="V492" s="203" t="s">
        <v>148</v>
      </c>
      <c r="W492" s="326"/>
    </row>
    <row r="493" spans="1:23" ht="15.75" x14ac:dyDescent="0.25">
      <c r="A493" s="96"/>
      <c r="B493" s="97"/>
      <c r="C493" s="97"/>
      <c r="D493" s="97"/>
      <c r="E493" s="104"/>
      <c r="F493" s="104"/>
      <c r="G493" s="109"/>
      <c r="H493" s="107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254"/>
      <c r="T493" s="247">
        <f t="shared" si="65"/>
        <v>0</v>
      </c>
      <c r="U493" s="183">
        <f t="shared" si="66"/>
        <v>0</v>
      </c>
      <c r="V493" s="203" t="s">
        <v>82</v>
      </c>
      <c r="W493" s="354"/>
    </row>
    <row r="494" spans="1:23" ht="16.5" thickBot="1" x14ac:dyDescent="0.3">
      <c r="A494" s="117"/>
      <c r="B494" s="118"/>
      <c r="C494" s="118"/>
      <c r="D494" s="118"/>
      <c r="E494" s="119"/>
      <c r="F494" s="119"/>
      <c r="G494" s="120"/>
      <c r="H494" s="107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254"/>
      <c r="T494" s="247">
        <f t="shared" si="65"/>
        <v>0</v>
      </c>
      <c r="U494" s="299">
        <f>($T494)/$D$450</f>
        <v>0</v>
      </c>
      <c r="V494" s="205" t="s">
        <v>15</v>
      </c>
      <c r="W494" s="352"/>
    </row>
    <row r="495" spans="1:23" ht="15.75" thickBot="1" x14ac:dyDescent="0.3">
      <c r="A495" s="122"/>
      <c r="B495" s="122"/>
      <c r="C495" s="122"/>
      <c r="D495" s="122"/>
      <c r="E495" s="122"/>
      <c r="F495" s="122"/>
      <c r="G495" s="47" t="s">
        <v>4</v>
      </c>
      <c r="H495" s="123">
        <f>SUM(H451:H494)</f>
        <v>263</v>
      </c>
      <c r="I495" s="123">
        <f t="shared" ref="I495:S495" si="67">SUM(I451:I494)</f>
        <v>46</v>
      </c>
      <c r="J495" s="123">
        <f t="shared" si="67"/>
        <v>28</v>
      </c>
      <c r="K495" s="123">
        <f t="shared" si="67"/>
        <v>32</v>
      </c>
      <c r="L495" s="123">
        <f t="shared" si="67"/>
        <v>30</v>
      </c>
      <c r="M495" s="123">
        <f t="shared" si="67"/>
        <v>0</v>
      </c>
      <c r="N495" s="123">
        <f t="shared" si="67"/>
        <v>0</v>
      </c>
      <c r="O495" s="123">
        <f t="shared" si="67"/>
        <v>0</v>
      </c>
      <c r="P495" s="123">
        <f t="shared" si="67"/>
        <v>0</v>
      </c>
      <c r="Q495" s="123">
        <f t="shared" si="67"/>
        <v>0</v>
      </c>
      <c r="R495" s="123">
        <f t="shared" si="67"/>
        <v>0</v>
      </c>
      <c r="S495" s="123">
        <f t="shared" si="67"/>
        <v>40</v>
      </c>
      <c r="T495" s="198">
        <f>SUM(H495,J495,L495,N495,P495,R495,S495)</f>
        <v>361</v>
      </c>
      <c r="U495" s="333">
        <f>($T495)/$D$450</f>
        <v>0.16327453640886477</v>
      </c>
      <c r="V495" s="40"/>
    </row>
    <row r="497" spans="1:23" ht="15.75" thickBot="1" x14ac:dyDescent="0.3"/>
    <row r="498" spans="1:23" ht="75.75" thickBot="1" x14ac:dyDescent="0.3">
      <c r="A498" s="42" t="s">
        <v>22</v>
      </c>
      <c r="B498" s="42" t="s">
        <v>47</v>
      </c>
      <c r="C498" s="43" t="s">
        <v>52</v>
      </c>
      <c r="D498" s="43" t="s">
        <v>17</v>
      </c>
      <c r="E498" s="42" t="s">
        <v>16</v>
      </c>
      <c r="F498" s="44" t="s">
        <v>1</v>
      </c>
      <c r="G498" s="45" t="s">
        <v>23</v>
      </c>
      <c r="H498" s="46" t="s">
        <v>72</v>
      </c>
      <c r="I498" s="46" t="s">
        <v>73</v>
      </c>
      <c r="J498" s="46" t="s">
        <v>53</v>
      </c>
      <c r="K498" s="46" t="s">
        <v>58</v>
      </c>
      <c r="L498" s="46" t="s">
        <v>54</v>
      </c>
      <c r="M498" s="46" t="s">
        <v>59</v>
      </c>
      <c r="N498" s="46" t="s">
        <v>55</v>
      </c>
      <c r="O498" s="46" t="s">
        <v>60</v>
      </c>
      <c r="P498" s="46" t="s">
        <v>56</v>
      </c>
      <c r="Q498" s="46" t="s">
        <v>74</v>
      </c>
      <c r="R498" s="46" t="s">
        <v>115</v>
      </c>
      <c r="S498" s="46" t="s">
        <v>41</v>
      </c>
      <c r="T498" s="46" t="s">
        <v>4</v>
      </c>
      <c r="U498" s="42" t="s">
        <v>2</v>
      </c>
      <c r="V498" s="80" t="s">
        <v>20</v>
      </c>
      <c r="W498" s="81" t="s">
        <v>6</v>
      </c>
    </row>
    <row r="499" spans="1:23" ht="15.75" thickBot="1" x14ac:dyDescent="0.3">
      <c r="A499" s="316">
        <v>1515308</v>
      </c>
      <c r="B499" s="209" t="s">
        <v>110</v>
      </c>
      <c r="C499" s="316">
        <v>1920</v>
      </c>
      <c r="D499" s="316">
        <v>2142</v>
      </c>
      <c r="E499" s="321">
        <v>1876</v>
      </c>
      <c r="F499" s="322">
        <f>E499/D499</f>
        <v>0.87581699346405228</v>
      </c>
      <c r="G499" s="48">
        <v>45370</v>
      </c>
      <c r="H499" s="82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4"/>
      <c r="T499" s="296"/>
      <c r="U499" s="115"/>
      <c r="V499" s="86" t="s">
        <v>75</v>
      </c>
      <c r="W499" s="353" t="s">
        <v>70</v>
      </c>
    </row>
    <row r="500" spans="1:23" ht="15.75" x14ac:dyDescent="0.25">
      <c r="A500" s="87"/>
      <c r="B500" s="88"/>
      <c r="C500" s="88"/>
      <c r="D500" s="88"/>
      <c r="E500" s="88"/>
      <c r="F500" s="88"/>
      <c r="G500" s="89"/>
      <c r="H500" s="90">
        <v>11</v>
      </c>
      <c r="I500" s="91"/>
      <c r="J500" s="91">
        <v>1</v>
      </c>
      <c r="K500" s="91"/>
      <c r="L500" s="91">
        <v>2</v>
      </c>
      <c r="M500" s="91"/>
      <c r="N500" s="91"/>
      <c r="O500" s="91"/>
      <c r="P500" s="91"/>
      <c r="Q500" s="91"/>
      <c r="R500" s="91"/>
      <c r="S500" s="250"/>
      <c r="T500" s="249">
        <f>SUM(H500,J500,L500,N500,P500,R500,S500)</f>
        <v>14</v>
      </c>
      <c r="U500" s="349">
        <f>($T500)/$D$499</f>
        <v>6.5359477124183009E-3</v>
      </c>
      <c r="V500" s="202" t="s">
        <v>15</v>
      </c>
      <c r="W500" s="210" t="s">
        <v>120</v>
      </c>
    </row>
    <row r="501" spans="1:23" ht="15.75" x14ac:dyDescent="0.25">
      <c r="A501" s="96"/>
      <c r="B501" s="97"/>
      <c r="C501" s="97"/>
      <c r="D501" s="97"/>
      <c r="E501" s="97"/>
      <c r="F501" s="97"/>
      <c r="G501" s="98"/>
      <c r="H501" s="348">
        <v>2</v>
      </c>
      <c r="I501" s="111"/>
      <c r="J501" s="111"/>
      <c r="K501" s="111"/>
      <c r="L501" s="111"/>
      <c r="M501" s="111"/>
      <c r="N501" s="111"/>
      <c r="O501" s="111"/>
      <c r="P501" s="111"/>
      <c r="Q501" s="111"/>
      <c r="R501" s="111"/>
      <c r="S501" s="253">
        <v>6</v>
      </c>
      <c r="T501" s="249">
        <f>SUM(H501,J501,L501,N501,P501,R501,S501)</f>
        <v>8</v>
      </c>
      <c r="U501" s="299">
        <f>($T501)/$D$499</f>
        <v>3.7348272642390291E-3</v>
      </c>
      <c r="V501" s="206" t="s">
        <v>43</v>
      </c>
      <c r="W501" s="210" t="s">
        <v>317</v>
      </c>
    </row>
    <row r="502" spans="1:23" ht="15.75" x14ac:dyDescent="0.25">
      <c r="A502" s="96"/>
      <c r="B502" s="97"/>
      <c r="C502" s="97"/>
      <c r="D502" s="97"/>
      <c r="E502" s="97"/>
      <c r="F502" s="97"/>
      <c r="G502" s="98"/>
      <c r="H502" s="99">
        <v>26</v>
      </c>
      <c r="I502" s="63"/>
      <c r="J502" s="63"/>
      <c r="K502" s="63"/>
      <c r="L502" s="63">
        <v>2</v>
      </c>
      <c r="M502" s="63"/>
      <c r="N502" s="63"/>
      <c r="O502" s="63"/>
      <c r="P502" s="63"/>
      <c r="Q502" s="63"/>
      <c r="R502" s="63"/>
      <c r="S502" s="251"/>
      <c r="T502" s="247">
        <f t="shared" ref="T502:T520" si="68">SUM(H502,J502,L502,N502,P502,R502,S502)</f>
        <v>28</v>
      </c>
      <c r="U502" s="299">
        <f t="shared" ref="U502:U516" si="69">($T502)/$D$499</f>
        <v>1.3071895424836602E-2</v>
      </c>
      <c r="V502" s="203" t="s">
        <v>5</v>
      </c>
      <c r="W502" s="210" t="s">
        <v>333</v>
      </c>
    </row>
    <row r="503" spans="1:23" ht="15.75" x14ac:dyDescent="0.25">
      <c r="A503" s="96"/>
      <c r="B503" s="97"/>
      <c r="C503" s="97"/>
      <c r="D503" s="97"/>
      <c r="E503" s="104"/>
      <c r="F503" s="104"/>
      <c r="G503" s="98"/>
      <c r="H503" s="99">
        <v>75</v>
      </c>
      <c r="I503" s="63"/>
      <c r="J503" s="63">
        <v>3</v>
      </c>
      <c r="K503" s="63"/>
      <c r="L503" s="63"/>
      <c r="M503" s="63"/>
      <c r="N503" s="63"/>
      <c r="O503" s="63"/>
      <c r="P503" s="63"/>
      <c r="Q503" s="63"/>
      <c r="R503" s="63"/>
      <c r="S503" s="251">
        <v>2</v>
      </c>
      <c r="T503" s="247">
        <f t="shared" si="68"/>
        <v>80</v>
      </c>
      <c r="U503" s="299">
        <f t="shared" si="69"/>
        <v>3.7348272642390289E-2</v>
      </c>
      <c r="V503" s="203" t="s">
        <v>13</v>
      </c>
      <c r="W503" s="244"/>
    </row>
    <row r="504" spans="1:23" ht="15.75" x14ac:dyDescent="0.25">
      <c r="A504" s="96"/>
      <c r="B504" s="97"/>
      <c r="C504" s="97"/>
      <c r="D504" s="97"/>
      <c r="E504" s="104"/>
      <c r="F504" s="104"/>
      <c r="G504" s="98"/>
      <c r="H504" s="99">
        <v>6</v>
      </c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251">
        <v>1</v>
      </c>
      <c r="T504" s="247">
        <f t="shared" si="68"/>
        <v>7</v>
      </c>
      <c r="U504" s="299">
        <f t="shared" si="69"/>
        <v>3.2679738562091504E-3</v>
      </c>
      <c r="V504" s="203" t="s">
        <v>14</v>
      </c>
      <c r="W504" s="311"/>
    </row>
    <row r="505" spans="1:23" ht="15.75" x14ac:dyDescent="0.25">
      <c r="A505" s="96"/>
      <c r="B505" s="97"/>
      <c r="C505" s="97"/>
      <c r="D505" s="97"/>
      <c r="E505" s="104"/>
      <c r="F505" s="104"/>
      <c r="G505" s="98"/>
      <c r="H505" s="99">
        <v>11</v>
      </c>
      <c r="I505" s="63"/>
      <c r="J505" s="63">
        <v>2</v>
      </c>
      <c r="K505" s="63"/>
      <c r="L505" s="63"/>
      <c r="M505" s="63"/>
      <c r="N505" s="63"/>
      <c r="O505" s="63"/>
      <c r="P505" s="63"/>
      <c r="Q505" s="63"/>
      <c r="R505" s="63"/>
      <c r="S505" s="251"/>
      <c r="T505" s="247">
        <f t="shared" si="68"/>
        <v>13</v>
      </c>
      <c r="U505" s="299">
        <f t="shared" si="69"/>
        <v>6.0690943043884222E-3</v>
      </c>
      <c r="V505" s="203" t="s">
        <v>30</v>
      </c>
      <c r="W505" s="311"/>
    </row>
    <row r="506" spans="1:23" ht="15.75" x14ac:dyDescent="0.25">
      <c r="A506" s="96"/>
      <c r="B506" s="97"/>
      <c r="C506" s="97"/>
      <c r="D506" s="97"/>
      <c r="E506" s="104"/>
      <c r="F506" s="104"/>
      <c r="G506" s="98"/>
      <c r="H506" s="99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251"/>
      <c r="T506" s="247">
        <f t="shared" si="68"/>
        <v>0</v>
      </c>
      <c r="U506" s="299">
        <f t="shared" si="69"/>
        <v>0</v>
      </c>
      <c r="V506" s="203" t="s">
        <v>31</v>
      </c>
      <c r="W506" s="105"/>
    </row>
    <row r="507" spans="1:23" ht="15.75" x14ac:dyDescent="0.25">
      <c r="A507" s="96"/>
      <c r="B507" s="97"/>
      <c r="C507" s="97"/>
      <c r="D507" s="97"/>
      <c r="E507" s="104"/>
      <c r="F507" s="104"/>
      <c r="G507" s="98"/>
      <c r="H507" s="99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251"/>
      <c r="T507" s="247">
        <f t="shared" si="68"/>
        <v>0</v>
      </c>
      <c r="U507" s="299">
        <f t="shared" si="69"/>
        <v>0</v>
      </c>
      <c r="V507" s="203" t="s">
        <v>168</v>
      </c>
      <c r="W507" s="323"/>
    </row>
    <row r="508" spans="1:23" ht="15.75" x14ac:dyDescent="0.25">
      <c r="A508" s="96"/>
      <c r="B508" s="97"/>
      <c r="C508" s="97"/>
      <c r="D508" s="97"/>
      <c r="E508" s="104"/>
      <c r="F508" s="104"/>
      <c r="G508" s="98"/>
      <c r="H508" s="99">
        <v>1</v>
      </c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251">
        <v>1</v>
      </c>
      <c r="T508" s="247">
        <f t="shared" si="68"/>
        <v>2</v>
      </c>
      <c r="U508" s="299">
        <f t="shared" si="69"/>
        <v>9.3370681605975728E-4</v>
      </c>
      <c r="V508" s="204" t="s">
        <v>202</v>
      </c>
      <c r="W508" s="105"/>
    </row>
    <row r="509" spans="1:23" ht="15.75" x14ac:dyDescent="0.25">
      <c r="A509" s="96"/>
      <c r="B509" s="97"/>
      <c r="C509" s="97"/>
      <c r="D509" s="97"/>
      <c r="E509" s="104"/>
      <c r="F509" s="104"/>
      <c r="G509" s="98"/>
      <c r="H509" s="99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251">
        <v>1</v>
      </c>
      <c r="T509" s="247">
        <f t="shared" si="68"/>
        <v>1</v>
      </c>
      <c r="U509" s="299">
        <f t="shared" si="69"/>
        <v>4.6685340802987864E-4</v>
      </c>
      <c r="V509" s="203" t="s">
        <v>0</v>
      </c>
      <c r="W509" s="354"/>
    </row>
    <row r="510" spans="1:23" ht="15.75" x14ac:dyDescent="0.25">
      <c r="A510" s="96"/>
      <c r="B510" s="97"/>
      <c r="C510" s="97"/>
      <c r="D510" s="97"/>
      <c r="E510" s="104"/>
      <c r="F510" s="104"/>
      <c r="G510" s="98"/>
      <c r="H510" s="99">
        <v>14</v>
      </c>
      <c r="I510" s="63"/>
      <c r="J510" s="63">
        <v>4</v>
      </c>
      <c r="K510" s="63"/>
      <c r="L510" s="63"/>
      <c r="M510" s="63"/>
      <c r="N510" s="63"/>
      <c r="O510" s="63"/>
      <c r="P510" s="63"/>
      <c r="Q510" s="63"/>
      <c r="R510" s="63"/>
      <c r="S510" s="251">
        <v>1</v>
      </c>
      <c r="T510" s="247">
        <f t="shared" si="68"/>
        <v>19</v>
      </c>
      <c r="U510" s="299">
        <f t="shared" si="69"/>
        <v>8.8702147525676935E-3</v>
      </c>
      <c r="V510" s="203" t="s">
        <v>11</v>
      </c>
      <c r="W510" s="354"/>
    </row>
    <row r="511" spans="1:23" ht="15.75" x14ac:dyDescent="0.25">
      <c r="A511" s="96"/>
      <c r="B511" s="97"/>
      <c r="C511" s="97"/>
      <c r="D511" s="97"/>
      <c r="E511" s="104"/>
      <c r="F511" s="104" t="s">
        <v>100</v>
      </c>
      <c r="G511" s="98"/>
      <c r="H511" s="99">
        <v>16</v>
      </c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251">
        <v>4</v>
      </c>
      <c r="T511" s="247">
        <f t="shared" si="68"/>
        <v>20</v>
      </c>
      <c r="U511" s="299">
        <f t="shared" si="69"/>
        <v>9.3370681605975722E-3</v>
      </c>
      <c r="V511" s="203" t="s">
        <v>33</v>
      </c>
      <c r="W511" s="326"/>
    </row>
    <row r="512" spans="1:23" ht="15.75" x14ac:dyDescent="0.25">
      <c r="A512" s="96"/>
      <c r="B512" s="97"/>
      <c r="C512" s="97"/>
      <c r="D512" s="97"/>
      <c r="E512" s="104"/>
      <c r="F512" s="104"/>
      <c r="G512" s="98"/>
      <c r="H512" s="99"/>
      <c r="I512" s="63"/>
      <c r="J512" s="63"/>
      <c r="K512" s="63"/>
      <c r="L512" s="63">
        <v>4</v>
      </c>
      <c r="M512" s="63"/>
      <c r="N512" s="63"/>
      <c r="O512" s="63"/>
      <c r="P512" s="63"/>
      <c r="Q512" s="63"/>
      <c r="R512" s="63"/>
      <c r="S512" s="251"/>
      <c r="T512" s="247">
        <f t="shared" si="68"/>
        <v>4</v>
      </c>
      <c r="U512" s="299">
        <f t="shared" si="69"/>
        <v>1.8674136321195146E-3</v>
      </c>
      <c r="V512" s="204" t="s">
        <v>27</v>
      </c>
      <c r="W512" s="354"/>
    </row>
    <row r="513" spans="1:23" ht="15.75" x14ac:dyDescent="0.25">
      <c r="A513" s="96"/>
      <c r="B513" s="97"/>
      <c r="C513" s="97"/>
      <c r="D513" s="97"/>
      <c r="E513" s="104"/>
      <c r="F513" s="104"/>
      <c r="G513" s="109"/>
      <c r="H513" s="110"/>
      <c r="I513" s="63"/>
      <c r="J513" s="63">
        <v>1</v>
      </c>
      <c r="K513" s="63"/>
      <c r="L513" s="63">
        <v>1</v>
      </c>
      <c r="M513" s="63"/>
      <c r="N513" s="63"/>
      <c r="O513" s="63"/>
      <c r="P513" s="63"/>
      <c r="Q513" s="63"/>
      <c r="R513" s="63"/>
      <c r="S513" s="251"/>
      <c r="T513" s="247">
        <f t="shared" si="68"/>
        <v>2</v>
      </c>
      <c r="U513" s="299">
        <f t="shared" si="69"/>
        <v>9.3370681605975728E-4</v>
      </c>
      <c r="V513" s="204" t="s">
        <v>26</v>
      </c>
      <c r="W513" s="212"/>
    </row>
    <row r="514" spans="1:23" ht="15.75" x14ac:dyDescent="0.25">
      <c r="A514" s="96"/>
      <c r="B514" s="97"/>
      <c r="C514" s="97"/>
      <c r="D514" s="97"/>
      <c r="E514" s="104"/>
      <c r="F514" s="104"/>
      <c r="G514" s="109"/>
      <c r="H514" s="110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251"/>
      <c r="T514" s="247">
        <f t="shared" si="68"/>
        <v>0</v>
      </c>
      <c r="U514" s="299">
        <f t="shared" si="69"/>
        <v>0</v>
      </c>
      <c r="V514" s="204" t="s">
        <v>85</v>
      </c>
      <c r="W514" s="212"/>
    </row>
    <row r="515" spans="1:23" ht="15.75" x14ac:dyDescent="0.25">
      <c r="A515" s="96"/>
      <c r="B515" s="97"/>
      <c r="C515" s="97"/>
      <c r="D515" s="97"/>
      <c r="E515" s="104"/>
      <c r="F515" s="104"/>
      <c r="G515" s="109"/>
      <c r="H515" s="110"/>
      <c r="I515" s="63"/>
      <c r="J515" s="63"/>
      <c r="K515" s="63"/>
      <c r="L515" s="63">
        <v>1</v>
      </c>
      <c r="M515" s="63"/>
      <c r="N515" s="63"/>
      <c r="O515" s="63"/>
      <c r="P515" s="63"/>
      <c r="Q515" s="63"/>
      <c r="R515" s="63"/>
      <c r="S515" s="251"/>
      <c r="T515" s="247">
        <f t="shared" si="68"/>
        <v>1</v>
      </c>
      <c r="U515" s="299">
        <f t="shared" si="69"/>
        <v>4.6685340802987864E-4</v>
      </c>
      <c r="V515" s="203" t="s">
        <v>419</v>
      </c>
      <c r="W515" s="103"/>
    </row>
    <row r="516" spans="1:23" ht="15.75" x14ac:dyDescent="0.25">
      <c r="A516" s="96"/>
      <c r="B516" s="97"/>
      <c r="C516" s="97"/>
      <c r="D516" s="97"/>
      <c r="E516" s="104"/>
      <c r="F516" s="104"/>
      <c r="G516" s="109"/>
      <c r="H516" s="464"/>
      <c r="I516" s="100"/>
      <c r="J516" s="100">
        <v>1</v>
      </c>
      <c r="K516" s="100"/>
      <c r="L516" s="100"/>
      <c r="M516" s="100"/>
      <c r="N516" s="100"/>
      <c r="O516" s="100"/>
      <c r="P516" s="100"/>
      <c r="Q516" s="100"/>
      <c r="R516" s="100"/>
      <c r="S516" s="254"/>
      <c r="T516" s="247">
        <f t="shared" si="68"/>
        <v>1</v>
      </c>
      <c r="U516" s="299">
        <f t="shared" si="69"/>
        <v>4.6685340802987864E-4</v>
      </c>
      <c r="V516" s="204" t="s">
        <v>363</v>
      </c>
      <c r="W516" s="103"/>
    </row>
    <row r="517" spans="1:23" ht="16.5" thickBot="1" x14ac:dyDescent="0.3">
      <c r="A517" s="96"/>
      <c r="B517" s="97"/>
      <c r="C517" s="97"/>
      <c r="D517" s="97"/>
      <c r="E517" s="104"/>
      <c r="F517" s="104"/>
      <c r="G517" s="109"/>
      <c r="H517" s="186"/>
      <c r="I517" s="187"/>
      <c r="J517" s="187">
        <v>4</v>
      </c>
      <c r="K517" s="187"/>
      <c r="L517" s="187"/>
      <c r="M517" s="187"/>
      <c r="N517" s="187"/>
      <c r="O517" s="187"/>
      <c r="P517" s="187"/>
      <c r="Q517" s="187"/>
      <c r="R517" s="187"/>
      <c r="S517" s="252"/>
      <c r="T517" s="248">
        <f t="shared" si="68"/>
        <v>4</v>
      </c>
      <c r="U517" s="245">
        <f>($T517)/$D$499</f>
        <v>1.8674136321195146E-3</v>
      </c>
      <c r="V517" s="205" t="s">
        <v>364</v>
      </c>
      <c r="W517" s="212"/>
    </row>
    <row r="518" spans="1:23" ht="15.75" x14ac:dyDescent="0.25">
      <c r="A518" s="96"/>
      <c r="B518" s="97"/>
      <c r="C518" s="97"/>
      <c r="D518" s="97"/>
      <c r="E518" s="104"/>
      <c r="F518" s="104"/>
      <c r="G518" s="98"/>
      <c r="H518" s="90"/>
      <c r="I518" s="111">
        <v>1</v>
      </c>
      <c r="J518" s="111"/>
      <c r="K518" s="111"/>
      <c r="L518" s="111"/>
      <c r="M518" s="111"/>
      <c r="N518" s="111"/>
      <c r="O518" s="111"/>
      <c r="P518" s="111"/>
      <c r="Q518" s="111"/>
      <c r="R518" s="111"/>
      <c r="S518" s="253"/>
      <c r="T518" s="249">
        <f t="shared" si="68"/>
        <v>0</v>
      </c>
      <c r="U518" s="183">
        <f>($T518)/$D$499</f>
        <v>0</v>
      </c>
      <c r="V518" s="206" t="s">
        <v>10</v>
      </c>
      <c r="W518" s="106"/>
    </row>
    <row r="519" spans="1:23" ht="15.75" x14ac:dyDescent="0.25">
      <c r="A519" s="96"/>
      <c r="B519" s="97"/>
      <c r="C519" s="97"/>
      <c r="D519" s="97"/>
      <c r="E519" s="104"/>
      <c r="F519" s="104"/>
      <c r="G519" s="98"/>
      <c r="H519" s="99"/>
      <c r="I519" s="213"/>
      <c r="J519" s="63"/>
      <c r="K519" s="63"/>
      <c r="L519" s="63"/>
      <c r="M519" s="63"/>
      <c r="N519" s="63"/>
      <c r="O519" s="63"/>
      <c r="P519" s="63"/>
      <c r="Q519" s="63"/>
      <c r="R519" s="63"/>
      <c r="S519" s="251"/>
      <c r="T519" s="247">
        <f t="shared" si="68"/>
        <v>0</v>
      </c>
      <c r="U519" s="93">
        <f>($T519)/$D$499</f>
        <v>0</v>
      </c>
      <c r="V519" s="331" t="s">
        <v>94</v>
      </c>
      <c r="W519" s="106"/>
    </row>
    <row r="520" spans="1:23" ht="15.75" x14ac:dyDescent="0.25">
      <c r="A520" s="96"/>
      <c r="B520" s="97"/>
      <c r="C520" s="97"/>
      <c r="D520" s="97"/>
      <c r="E520" s="104"/>
      <c r="F520" s="104"/>
      <c r="G520" s="98"/>
      <c r="H520" s="99"/>
      <c r="I520" s="214">
        <v>3</v>
      </c>
      <c r="J520" s="63"/>
      <c r="K520" s="63"/>
      <c r="L520" s="63">
        <v>1</v>
      </c>
      <c r="M520" s="63"/>
      <c r="N520" s="63"/>
      <c r="O520" s="63"/>
      <c r="P520" s="63"/>
      <c r="Q520" s="63"/>
      <c r="R520" s="63"/>
      <c r="S520" s="251">
        <v>1</v>
      </c>
      <c r="T520" s="247">
        <f t="shared" si="68"/>
        <v>2</v>
      </c>
      <c r="U520" s="93">
        <f t="shared" ref="U520:U531" si="70">($T520)/$D$499</f>
        <v>9.3370681605975728E-4</v>
      </c>
      <c r="V520" s="203" t="s">
        <v>3</v>
      </c>
      <c r="W520" s="105"/>
    </row>
    <row r="521" spans="1:23" ht="15.75" x14ac:dyDescent="0.25">
      <c r="A521" s="96"/>
      <c r="B521" s="97"/>
      <c r="C521" s="97"/>
      <c r="D521" s="97"/>
      <c r="E521" s="97"/>
      <c r="F521" s="104"/>
      <c r="G521" s="98"/>
      <c r="H521" s="99"/>
      <c r="I521" s="214">
        <v>19</v>
      </c>
      <c r="J521" s="63"/>
      <c r="K521" s="63">
        <v>1</v>
      </c>
      <c r="L521" s="63"/>
      <c r="M521" s="63"/>
      <c r="N521" s="63"/>
      <c r="O521" s="63"/>
      <c r="P521" s="63"/>
      <c r="Q521" s="63"/>
      <c r="R521" s="63"/>
      <c r="S521" s="251">
        <v>5</v>
      </c>
      <c r="T521" s="247">
        <f>SUM(H521,J521,L521,N521,P521,R521,S521)</f>
        <v>5</v>
      </c>
      <c r="U521" s="93">
        <f t="shared" si="70"/>
        <v>2.334267040149393E-3</v>
      </c>
      <c r="V521" s="203" t="s">
        <v>7</v>
      </c>
      <c r="W521" s="106"/>
    </row>
    <row r="522" spans="1:23" ht="15.75" x14ac:dyDescent="0.25">
      <c r="A522" s="96"/>
      <c r="B522" s="97"/>
      <c r="C522" s="97"/>
      <c r="D522" s="97"/>
      <c r="E522" s="97"/>
      <c r="F522" s="104"/>
      <c r="G522" s="98"/>
      <c r="H522" s="99"/>
      <c r="I522" s="214">
        <v>1</v>
      </c>
      <c r="J522" s="63"/>
      <c r="K522" s="63">
        <v>2</v>
      </c>
      <c r="L522" s="63"/>
      <c r="M522" s="63"/>
      <c r="N522" s="63"/>
      <c r="O522" s="63"/>
      <c r="P522" s="63"/>
      <c r="Q522" s="63"/>
      <c r="R522" s="63"/>
      <c r="S522" s="251"/>
      <c r="T522" s="247">
        <f t="shared" ref="T522:T526" si="71">SUM(H522,J522,L522,N522,P522,R522,S522)</f>
        <v>0</v>
      </c>
      <c r="U522" s="93">
        <f t="shared" si="70"/>
        <v>0</v>
      </c>
      <c r="V522" s="203" t="s">
        <v>8</v>
      </c>
      <c r="W522" s="354"/>
    </row>
    <row r="523" spans="1:23" ht="15.75" x14ac:dyDescent="0.25">
      <c r="A523" s="96"/>
      <c r="B523" s="97"/>
      <c r="C523" s="97"/>
      <c r="D523" s="97"/>
      <c r="E523" s="97"/>
      <c r="F523" s="104"/>
      <c r="G523" s="98"/>
      <c r="H523" s="99"/>
      <c r="I523" s="214">
        <v>4</v>
      </c>
      <c r="J523" s="63"/>
      <c r="K523" s="63"/>
      <c r="L523" s="63"/>
      <c r="M523" s="63"/>
      <c r="N523" s="63"/>
      <c r="O523" s="63"/>
      <c r="P523" s="63"/>
      <c r="Q523" s="63"/>
      <c r="R523" s="63"/>
      <c r="S523" s="251"/>
      <c r="T523" s="247">
        <f t="shared" si="71"/>
        <v>0</v>
      </c>
      <c r="U523" s="93">
        <f t="shared" si="70"/>
        <v>0</v>
      </c>
      <c r="V523" s="203" t="s">
        <v>77</v>
      </c>
      <c r="W523" s="354" t="s">
        <v>198</v>
      </c>
    </row>
    <row r="524" spans="1:23" ht="15.75" x14ac:dyDescent="0.25">
      <c r="A524" s="96"/>
      <c r="B524" s="97"/>
      <c r="C524" s="97"/>
      <c r="D524" s="97"/>
      <c r="E524" s="97"/>
      <c r="F524" s="104"/>
      <c r="G524" s="98"/>
      <c r="H524" s="99"/>
      <c r="I524" s="214">
        <v>3</v>
      </c>
      <c r="J524" s="63"/>
      <c r="K524" s="63"/>
      <c r="L524" s="63">
        <v>1</v>
      </c>
      <c r="M524" s="63"/>
      <c r="N524" s="63"/>
      <c r="O524" s="63"/>
      <c r="P524" s="63"/>
      <c r="Q524" s="63"/>
      <c r="R524" s="63"/>
      <c r="S524" s="251"/>
      <c r="T524" s="247">
        <f t="shared" si="71"/>
        <v>1</v>
      </c>
      <c r="U524" s="93">
        <f t="shared" si="70"/>
        <v>4.6685340802987864E-4</v>
      </c>
      <c r="V524" s="203" t="s">
        <v>19</v>
      </c>
      <c r="W524" s="354" t="s">
        <v>426</v>
      </c>
    </row>
    <row r="525" spans="1:23" ht="15.75" x14ac:dyDescent="0.25">
      <c r="A525" s="96"/>
      <c r="B525" s="97"/>
      <c r="C525" s="97"/>
      <c r="D525" s="97"/>
      <c r="E525" s="97"/>
      <c r="F525" s="104"/>
      <c r="G525" s="98"/>
      <c r="H525" s="99"/>
      <c r="I525" s="214"/>
      <c r="J525" s="63"/>
      <c r="K525" s="63"/>
      <c r="L525" s="63"/>
      <c r="M525" s="63"/>
      <c r="N525" s="63"/>
      <c r="O525" s="63"/>
      <c r="P525" s="63"/>
      <c r="Q525" s="63"/>
      <c r="R525" s="63"/>
      <c r="S525" s="251"/>
      <c r="T525" s="247">
        <f t="shared" si="71"/>
        <v>0</v>
      </c>
      <c r="U525" s="93">
        <f t="shared" si="70"/>
        <v>0</v>
      </c>
      <c r="V525" s="203" t="s">
        <v>78</v>
      </c>
      <c r="W525" s="354"/>
    </row>
    <row r="526" spans="1:23" ht="15.75" x14ac:dyDescent="0.25">
      <c r="A526" s="96"/>
      <c r="B526" s="97"/>
      <c r="C526" s="97"/>
      <c r="D526" s="97"/>
      <c r="E526" s="97"/>
      <c r="F526" s="104"/>
      <c r="G526" s="98"/>
      <c r="H526" s="99"/>
      <c r="I526" s="214"/>
      <c r="J526" s="63"/>
      <c r="K526" s="63"/>
      <c r="L526" s="63"/>
      <c r="M526" s="63"/>
      <c r="N526" s="63"/>
      <c r="O526" s="63"/>
      <c r="P526" s="63"/>
      <c r="Q526" s="63"/>
      <c r="R526" s="63"/>
      <c r="S526" s="251"/>
      <c r="T526" s="247">
        <f t="shared" si="71"/>
        <v>0</v>
      </c>
      <c r="U526" s="93">
        <f t="shared" si="70"/>
        <v>0</v>
      </c>
      <c r="V526" s="332" t="s">
        <v>365</v>
      </c>
      <c r="W526" s="354"/>
    </row>
    <row r="527" spans="1:23" ht="15.75" x14ac:dyDescent="0.25">
      <c r="A527" s="96"/>
      <c r="B527" s="97"/>
      <c r="C527" s="97"/>
      <c r="D527" s="97"/>
      <c r="E527" s="104"/>
      <c r="F527" s="104"/>
      <c r="G527" s="98"/>
      <c r="H527" s="99"/>
      <c r="I527" s="214">
        <v>20</v>
      </c>
      <c r="J527" s="63"/>
      <c r="K527" s="63">
        <v>2</v>
      </c>
      <c r="L527" s="63">
        <v>2</v>
      </c>
      <c r="M527" s="63"/>
      <c r="N527" s="63"/>
      <c r="O527" s="63"/>
      <c r="P527" s="63"/>
      <c r="Q527" s="63"/>
      <c r="R527" s="63"/>
      <c r="S527" s="251"/>
      <c r="T527" s="247">
        <f>SUM(H527,J527,L527,N527,P527,R527,S527)</f>
        <v>2</v>
      </c>
      <c r="U527" s="93">
        <f t="shared" si="70"/>
        <v>9.3370681605975728E-4</v>
      </c>
      <c r="V527" s="203" t="s">
        <v>12</v>
      </c>
      <c r="W527" s="326"/>
    </row>
    <row r="528" spans="1:23" ht="15.75" x14ac:dyDescent="0.25">
      <c r="A528" s="96"/>
      <c r="B528" s="97"/>
      <c r="C528" s="97"/>
      <c r="D528" s="97"/>
      <c r="E528" s="104"/>
      <c r="F528" s="104"/>
      <c r="G528" s="98"/>
      <c r="H528" s="99"/>
      <c r="I528" s="63">
        <v>8</v>
      </c>
      <c r="J528" s="63"/>
      <c r="K528" s="63">
        <v>1</v>
      </c>
      <c r="L528" s="63">
        <v>3</v>
      </c>
      <c r="M528" s="63"/>
      <c r="N528" s="63"/>
      <c r="O528" s="63"/>
      <c r="P528" s="63"/>
      <c r="Q528" s="63"/>
      <c r="R528" s="63"/>
      <c r="S528" s="251">
        <v>1</v>
      </c>
      <c r="T528" s="247">
        <f t="shared" ref="T528:T532" si="72">SUM(H528,J528,L528,N528,P528,R528,S528)</f>
        <v>4</v>
      </c>
      <c r="U528" s="93">
        <f t="shared" si="70"/>
        <v>1.8674136321195146E-3</v>
      </c>
      <c r="V528" s="204" t="s">
        <v>164</v>
      </c>
      <c r="W528" s="354"/>
    </row>
    <row r="529" spans="1:23" ht="15.75" x14ac:dyDescent="0.25">
      <c r="A529" s="96"/>
      <c r="B529" s="97"/>
      <c r="C529" s="97"/>
      <c r="D529" s="97"/>
      <c r="E529" s="104"/>
      <c r="F529" s="104"/>
      <c r="G529" s="98"/>
      <c r="H529" s="99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251"/>
      <c r="T529" s="247">
        <f t="shared" si="72"/>
        <v>0</v>
      </c>
      <c r="U529" s="93">
        <f t="shared" si="70"/>
        <v>0</v>
      </c>
      <c r="V529" s="204" t="s">
        <v>375</v>
      </c>
      <c r="W529" s="478"/>
    </row>
    <row r="530" spans="1:23" ht="15.75" x14ac:dyDescent="0.25">
      <c r="A530" s="96"/>
      <c r="B530" s="97"/>
      <c r="C530" s="97"/>
      <c r="D530" s="97"/>
      <c r="E530" s="104"/>
      <c r="F530" s="104"/>
      <c r="G530" s="98"/>
      <c r="H530" s="99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251"/>
      <c r="T530" s="247">
        <f t="shared" si="72"/>
        <v>0</v>
      </c>
      <c r="U530" s="93">
        <f t="shared" si="70"/>
        <v>0</v>
      </c>
      <c r="V530" s="204" t="s">
        <v>318</v>
      </c>
      <c r="W530" s="326"/>
    </row>
    <row r="531" spans="1:23" ht="15.75" x14ac:dyDescent="0.25">
      <c r="A531" s="96"/>
      <c r="B531" s="97"/>
      <c r="C531" s="97"/>
      <c r="D531" s="97"/>
      <c r="E531" s="104"/>
      <c r="F531" s="104"/>
      <c r="G531" s="98"/>
      <c r="H531" s="107"/>
      <c r="I531" s="100"/>
      <c r="J531" s="100"/>
      <c r="K531" s="100"/>
      <c r="L531" s="100">
        <v>1</v>
      </c>
      <c r="M531" s="100"/>
      <c r="N531" s="100"/>
      <c r="O531" s="100"/>
      <c r="P531" s="100"/>
      <c r="Q531" s="100"/>
      <c r="R531" s="100"/>
      <c r="S531" s="254"/>
      <c r="T531" s="247">
        <f t="shared" si="72"/>
        <v>1</v>
      </c>
      <c r="U531" s="93">
        <f t="shared" si="70"/>
        <v>4.6685340802987864E-4</v>
      </c>
      <c r="V531" s="479" t="s">
        <v>92</v>
      </c>
      <c r="W531" s="326"/>
    </row>
    <row r="532" spans="1:23" ht="16.5" thickBot="1" x14ac:dyDescent="0.3">
      <c r="A532" s="96"/>
      <c r="B532" s="97"/>
      <c r="C532" s="97"/>
      <c r="D532" s="97"/>
      <c r="E532" s="104"/>
      <c r="F532" s="104"/>
      <c r="G532" s="98"/>
      <c r="H532" s="107"/>
      <c r="I532" s="100">
        <v>4</v>
      </c>
      <c r="J532" s="100"/>
      <c r="K532" s="100"/>
      <c r="L532" s="100"/>
      <c r="M532" s="100"/>
      <c r="N532" s="100"/>
      <c r="O532" s="100"/>
      <c r="P532" s="100"/>
      <c r="Q532" s="100"/>
      <c r="R532" s="100"/>
      <c r="S532" s="254"/>
      <c r="T532" s="589">
        <f t="shared" si="72"/>
        <v>0</v>
      </c>
      <c r="U532" s="299">
        <f>($T532)/$D$499</f>
        <v>0</v>
      </c>
      <c r="V532" s="357" t="s">
        <v>94</v>
      </c>
      <c r="W532" s="326"/>
    </row>
    <row r="533" spans="1:23" ht="16.5" thickBot="1" x14ac:dyDescent="0.3">
      <c r="A533" s="96"/>
      <c r="B533" s="97"/>
      <c r="C533" s="97"/>
      <c r="D533" s="97"/>
      <c r="E533" s="104"/>
      <c r="F533" s="104"/>
      <c r="G533" s="98"/>
      <c r="H533" s="430"/>
      <c r="I533" s="431"/>
      <c r="J533" s="432"/>
      <c r="K533" s="431"/>
      <c r="L533" s="431"/>
      <c r="M533" s="431"/>
      <c r="N533" s="431"/>
      <c r="O533" s="431"/>
      <c r="P533" s="431"/>
      <c r="Q533" s="431"/>
      <c r="R533" s="431"/>
      <c r="S533" s="431"/>
      <c r="T533" s="433"/>
      <c r="U533" s="433"/>
      <c r="V533" s="441" t="s">
        <v>267</v>
      </c>
      <c r="W533" s="354"/>
    </row>
    <row r="534" spans="1:23" ht="15.75" x14ac:dyDescent="0.25">
      <c r="A534" s="96"/>
      <c r="B534" s="97"/>
      <c r="C534" s="97"/>
      <c r="D534" s="97"/>
      <c r="E534" s="104"/>
      <c r="F534" s="104"/>
      <c r="G534" s="109"/>
      <c r="H534" s="90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250"/>
      <c r="T534" s="249">
        <f t="shared" ref="T534:T543" si="73">SUM(H534,J534,L534,N534,P534,R534,S534)</f>
        <v>0</v>
      </c>
      <c r="U534" s="183">
        <f>($T534)/$D$499</f>
        <v>0</v>
      </c>
      <c r="V534" s="202" t="s">
        <v>89</v>
      </c>
      <c r="W534" s="354"/>
    </row>
    <row r="535" spans="1:23" ht="15.75" x14ac:dyDescent="0.25">
      <c r="A535" s="96"/>
      <c r="B535" s="97"/>
      <c r="C535" s="97"/>
      <c r="D535" s="97"/>
      <c r="E535" s="104"/>
      <c r="F535" s="104"/>
      <c r="G535" s="109"/>
      <c r="H535" s="99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251"/>
      <c r="T535" s="247">
        <f t="shared" si="73"/>
        <v>0</v>
      </c>
      <c r="U535" s="183">
        <f>($T535)/$D$499</f>
        <v>0</v>
      </c>
      <c r="V535" s="203" t="s">
        <v>83</v>
      </c>
      <c r="W535" s="326"/>
    </row>
    <row r="536" spans="1:23" x14ac:dyDescent="0.25">
      <c r="A536" s="96"/>
      <c r="B536" s="97"/>
      <c r="C536" s="97"/>
      <c r="D536" s="97"/>
      <c r="E536" s="104"/>
      <c r="F536" s="104"/>
      <c r="G536" s="109"/>
      <c r="H536" s="99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251"/>
      <c r="T536" s="247">
        <f t="shared" si="73"/>
        <v>0</v>
      </c>
      <c r="U536" s="183">
        <f t="shared" ref="U536:U542" si="74">($T536)/$D$499</f>
        <v>0</v>
      </c>
      <c r="V536" s="355" t="s">
        <v>11</v>
      </c>
      <c r="W536" s="354" t="s">
        <v>420</v>
      </c>
    </row>
    <row r="537" spans="1:23" ht="15.75" x14ac:dyDescent="0.25">
      <c r="A537" s="96"/>
      <c r="B537" s="97"/>
      <c r="C537" s="97"/>
      <c r="D537" s="97"/>
      <c r="E537" s="104"/>
      <c r="F537" s="104"/>
      <c r="G537" s="109"/>
      <c r="H537" s="99">
        <v>1</v>
      </c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251"/>
      <c r="T537" s="247">
        <f t="shared" si="73"/>
        <v>1</v>
      </c>
      <c r="U537" s="183">
        <f t="shared" si="74"/>
        <v>4.6685340802987864E-4</v>
      </c>
      <c r="V537" s="203" t="s">
        <v>12</v>
      </c>
      <c r="W537" s="326" t="s">
        <v>214</v>
      </c>
    </row>
    <row r="538" spans="1:23" ht="15.75" x14ac:dyDescent="0.25">
      <c r="A538" s="96"/>
      <c r="B538" s="97"/>
      <c r="C538" s="97"/>
      <c r="D538" s="97"/>
      <c r="E538" s="104"/>
      <c r="F538" s="104"/>
      <c r="G538" s="109"/>
      <c r="H538" s="99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251"/>
      <c r="T538" s="247">
        <f t="shared" si="73"/>
        <v>0</v>
      </c>
      <c r="U538" s="183">
        <f t="shared" si="74"/>
        <v>0</v>
      </c>
      <c r="V538" s="204" t="s">
        <v>85</v>
      </c>
      <c r="W538" s="126" t="s">
        <v>424</v>
      </c>
    </row>
    <row r="539" spans="1:23" ht="15.75" x14ac:dyDescent="0.25">
      <c r="A539" s="96"/>
      <c r="B539" s="97"/>
      <c r="C539" s="97"/>
      <c r="D539" s="97"/>
      <c r="E539" s="104"/>
      <c r="F539" s="104"/>
      <c r="G539" s="109"/>
      <c r="H539" s="99">
        <v>2</v>
      </c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251"/>
      <c r="T539" s="247">
        <f t="shared" si="73"/>
        <v>2</v>
      </c>
      <c r="U539" s="183">
        <f t="shared" si="74"/>
        <v>9.3370681605975728E-4</v>
      </c>
      <c r="V539" s="204" t="s">
        <v>26</v>
      </c>
      <c r="W539" s="326" t="s">
        <v>425</v>
      </c>
    </row>
    <row r="540" spans="1:23" ht="15.75" x14ac:dyDescent="0.25">
      <c r="A540" s="96"/>
      <c r="B540" s="97"/>
      <c r="C540" s="97"/>
      <c r="D540" s="97"/>
      <c r="E540" s="104"/>
      <c r="F540" s="104"/>
      <c r="G540" s="109"/>
      <c r="H540" s="107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254"/>
      <c r="T540" s="247">
        <f t="shared" si="73"/>
        <v>0</v>
      </c>
      <c r="U540" s="183">
        <f t="shared" si="74"/>
        <v>0</v>
      </c>
      <c r="V540" s="207" t="s">
        <v>35</v>
      </c>
      <c r="W540" s="326" t="s">
        <v>422</v>
      </c>
    </row>
    <row r="541" spans="1:23" ht="15.75" x14ac:dyDescent="0.25">
      <c r="A541" s="96"/>
      <c r="B541" s="97"/>
      <c r="C541" s="97"/>
      <c r="D541" s="97"/>
      <c r="E541" s="104"/>
      <c r="F541" s="104"/>
      <c r="G541" s="109"/>
      <c r="H541" s="107">
        <v>39</v>
      </c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254"/>
      <c r="T541" s="247">
        <f t="shared" si="73"/>
        <v>39</v>
      </c>
      <c r="U541" s="183">
        <f t="shared" si="74"/>
        <v>1.8207282913165267E-2</v>
      </c>
      <c r="V541" s="203" t="s">
        <v>148</v>
      </c>
      <c r="W541" s="326" t="s">
        <v>423</v>
      </c>
    </row>
    <row r="542" spans="1:23" ht="15.75" x14ac:dyDescent="0.25">
      <c r="A542" s="96"/>
      <c r="B542" s="97"/>
      <c r="C542" s="97"/>
      <c r="D542" s="97"/>
      <c r="E542" s="104"/>
      <c r="F542" s="104"/>
      <c r="G542" s="109"/>
      <c r="H542" s="107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254"/>
      <c r="T542" s="247">
        <f t="shared" si="73"/>
        <v>0</v>
      </c>
      <c r="U542" s="183">
        <f t="shared" si="74"/>
        <v>0</v>
      </c>
      <c r="V542" s="203" t="s">
        <v>82</v>
      </c>
      <c r="W542" s="354"/>
    </row>
    <row r="543" spans="1:23" ht="16.5" thickBot="1" x14ac:dyDescent="0.3">
      <c r="A543" s="117"/>
      <c r="B543" s="118"/>
      <c r="C543" s="118"/>
      <c r="D543" s="118"/>
      <c r="E543" s="119"/>
      <c r="F543" s="119"/>
      <c r="G543" s="120"/>
      <c r="H543" s="107">
        <v>2</v>
      </c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254"/>
      <c r="T543" s="247">
        <f t="shared" si="73"/>
        <v>2</v>
      </c>
      <c r="U543" s="299">
        <f>($T543)/$D$499</f>
        <v>9.3370681605975728E-4</v>
      </c>
      <c r="V543" s="205" t="s">
        <v>421</v>
      </c>
      <c r="W543" s="352"/>
    </row>
    <row r="544" spans="1:23" ht="15.75" thickBot="1" x14ac:dyDescent="0.3">
      <c r="A544" s="122"/>
      <c r="B544" s="122"/>
      <c r="C544" s="122"/>
      <c r="D544" s="122"/>
      <c r="E544" s="122"/>
      <c r="F544" s="122"/>
      <c r="G544" s="47" t="s">
        <v>4</v>
      </c>
      <c r="H544" s="123">
        <f>SUM(H500:H543)</f>
        <v>206</v>
      </c>
      <c r="I544" s="123">
        <f t="shared" ref="I544:S544" si="75">SUM(I500:I543)</f>
        <v>63</v>
      </c>
      <c r="J544" s="123">
        <f t="shared" si="75"/>
        <v>16</v>
      </c>
      <c r="K544" s="123">
        <f t="shared" si="75"/>
        <v>6</v>
      </c>
      <c r="L544" s="123">
        <f t="shared" si="75"/>
        <v>18</v>
      </c>
      <c r="M544" s="123">
        <f t="shared" si="75"/>
        <v>0</v>
      </c>
      <c r="N544" s="123">
        <f t="shared" si="75"/>
        <v>0</v>
      </c>
      <c r="O544" s="123">
        <f t="shared" si="75"/>
        <v>0</v>
      </c>
      <c r="P544" s="123">
        <f t="shared" si="75"/>
        <v>0</v>
      </c>
      <c r="Q544" s="123">
        <f t="shared" si="75"/>
        <v>0</v>
      </c>
      <c r="R544" s="123">
        <f t="shared" si="75"/>
        <v>0</v>
      </c>
      <c r="S544" s="123">
        <f t="shared" si="75"/>
        <v>23</v>
      </c>
      <c r="T544" s="198">
        <f>SUM(H544,J544,L544,N544,P544,R544,S544)</f>
        <v>263</v>
      </c>
      <c r="U544" s="333">
        <f>($T544)/$D$499</f>
        <v>0.12278244631185807</v>
      </c>
      <c r="V544" s="40"/>
    </row>
    <row r="546" spans="1:23" ht="15.75" thickBot="1" x14ac:dyDescent="0.3"/>
    <row r="547" spans="1:23" ht="75.75" thickBot="1" x14ac:dyDescent="0.3">
      <c r="A547" s="42" t="s">
        <v>22</v>
      </c>
      <c r="B547" s="42" t="s">
        <v>47</v>
      </c>
      <c r="C547" s="43" t="s">
        <v>52</v>
      </c>
      <c r="D547" s="43" t="s">
        <v>17</v>
      </c>
      <c r="E547" s="42" t="s">
        <v>16</v>
      </c>
      <c r="F547" s="44" t="s">
        <v>1</v>
      </c>
      <c r="G547" s="45" t="s">
        <v>23</v>
      </c>
      <c r="H547" s="46" t="s">
        <v>72</v>
      </c>
      <c r="I547" s="46" t="s">
        <v>73</v>
      </c>
      <c r="J547" s="46" t="s">
        <v>53</v>
      </c>
      <c r="K547" s="46" t="s">
        <v>58</v>
      </c>
      <c r="L547" s="46" t="s">
        <v>54</v>
      </c>
      <c r="M547" s="46" t="s">
        <v>59</v>
      </c>
      <c r="N547" s="46" t="s">
        <v>55</v>
      </c>
      <c r="O547" s="46" t="s">
        <v>60</v>
      </c>
      <c r="P547" s="46" t="s">
        <v>56</v>
      </c>
      <c r="Q547" s="46" t="s">
        <v>74</v>
      </c>
      <c r="R547" s="46" t="s">
        <v>115</v>
      </c>
      <c r="S547" s="46" t="s">
        <v>41</v>
      </c>
      <c r="T547" s="46" t="s">
        <v>4</v>
      </c>
      <c r="U547" s="42" t="s">
        <v>2</v>
      </c>
      <c r="V547" s="80" t="s">
        <v>20</v>
      </c>
      <c r="W547" s="81" t="s">
        <v>6</v>
      </c>
    </row>
    <row r="548" spans="1:23" ht="15.75" thickBot="1" x14ac:dyDescent="0.3">
      <c r="A548" s="316">
        <v>1517977</v>
      </c>
      <c r="B548" s="209" t="s">
        <v>110</v>
      </c>
      <c r="C548" s="316">
        <v>1920</v>
      </c>
      <c r="D548" s="316">
        <v>2149</v>
      </c>
      <c r="E548" s="321">
        <v>1822</v>
      </c>
      <c r="F548" s="322">
        <f>E548/D548</f>
        <v>0.84783620288506278</v>
      </c>
      <c r="G548" s="48">
        <v>45371</v>
      </c>
      <c r="H548" s="82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4"/>
      <c r="T548" s="296"/>
      <c r="U548" s="115"/>
      <c r="V548" s="86" t="s">
        <v>75</v>
      </c>
      <c r="W548" s="353" t="s">
        <v>70</v>
      </c>
    </row>
    <row r="549" spans="1:23" ht="15.75" x14ac:dyDescent="0.25">
      <c r="A549" s="87"/>
      <c r="B549" s="88"/>
      <c r="C549" s="88"/>
      <c r="D549" s="88"/>
      <c r="E549" s="88"/>
      <c r="F549" s="88"/>
      <c r="G549" s="89"/>
      <c r="H549" s="90">
        <v>5</v>
      </c>
      <c r="I549" s="91"/>
      <c r="J549" s="91">
        <v>1</v>
      </c>
      <c r="K549" s="91"/>
      <c r="L549" s="91"/>
      <c r="M549" s="91"/>
      <c r="N549" s="91"/>
      <c r="O549" s="91"/>
      <c r="P549" s="91"/>
      <c r="Q549" s="91"/>
      <c r="R549" s="91"/>
      <c r="S549" s="250"/>
      <c r="T549" s="249">
        <f>SUM(H549,J549,L549,N549,P549,R549,S549)</f>
        <v>6</v>
      </c>
      <c r="U549" s="349">
        <f>($T549)/$D$548</f>
        <v>2.791996277338297E-3</v>
      </c>
      <c r="V549" s="202" t="s">
        <v>15</v>
      </c>
      <c r="W549" s="210" t="s">
        <v>120</v>
      </c>
    </row>
    <row r="550" spans="1:23" ht="15.75" x14ac:dyDescent="0.25">
      <c r="A550" s="96"/>
      <c r="B550" s="97"/>
      <c r="C550" s="97"/>
      <c r="D550" s="97"/>
      <c r="E550" s="97"/>
      <c r="F550" s="97"/>
      <c r="G550" s="98"/>
      <c r="H550" s="348">
        <v>1</v>
      </c>
      <c r="I550" s="111"/>
      <c r="J550" s="111"/>
      <c r="K550" s="111"/>
      <c r="L550" s="111">
        <v>1</v>
      </c>
      <c r="M550" s="111"/>
      <c r="N550" s="111"/>
      <c r="O550" s="111"/>
      <c r="P550" s="111"/>
      <c r="Q550" s="111"/>
      <c r="R550" s="111"/>
      <c r="S550" s="253">
        <v>5</v>
      </c>
      <c r="T550" s="249">
        <f>SUM(H550,J550,L550,N550,P550,R550,S550)</f>
        <v>7</v>
      </c>
      <c r="U550" s="299">
        <f>($T550)/$D$548</f>
        <v>3.2573289902280132E-3</v>
      </c>
      <c r="V550" s="206" t="s">
        <v>43</v>
      </c>
      <c r="W550" s="210" t="s">
        <v>317</v>
      </c>
    </row>
    <row r="551" spans="1:23" ht="15.75" x14ac:dyDescent="0.25">
      <c r="A551" s="96"/>
      <c r="B551" s="97"/>
      <c r="C551" s="97"/>
      <c r="D551" s="97"/>
      <c r="E551" s="97"/>
      <c r="F551" s="97"/>
      <c r="G551" s="98"/>
      <c r="H551" s="99">
        <v>9</v>
      </c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251"/>
      <c r="T551" s="247">
        <f t="shared" ref="T551:T569" si="76">SUM(H551,J551,L551,N551,P551,R551,S551)</f>
        <v>9</v>
      </c>
      <c r="U551" s="299">
        <f t="shared" ref="U551:U565" si="77">($T551)/$D$548</f>
        <v>4.1879944160074451E-3</v>
      </c>
      <c r="V551" s="203" t="s">
        <v>5</v>
      </c>
      <c r="W551" s="210" t="s">
        <v>333</v>
      </c>
    </row>
    <row r="552" spans="1:23" ht="15.75" x14ac:dyDescent="0.25">
      <c r="A552" s="96"/>
      <c r="B552" s="97"/>
      <c r="C552" s="97"/>
      <c r="D552" s="97"/>
      <c r="E552" s="104"/>
      <c r="F552" s="104"/>
      <c r="G552" s="98"/>
      <c r="H552" s="99">
        <v>81</v>
      </c>
      <c r="I552" s="63"/>
      <c r="J552" s="63">
        <v>9</v>
      </c>
      <c r="K552" s="63"/>
      <c r="L552" s="63">
        <v>5</v>
      </c>
      <c r="M552" s="63"/>
      <c r="N552" s="63"/>
      <c r="O552" s="63"/>
      <c r="P552" s="63"/>
      <c r="Q552" s="63"/>
      <c r="R552" s="63"/>
      <c r="S552" s="251">
        <v>1</v>
      </c>
      <c r="T552" s="247">
        <f t="shared" si="76"/>
        <v>96</v>
      </c>
      <c r="U552" s="299">
        <f t="shared" si="77"/>
        <v>4.4671940437412752E-2</v>
      </c>
      <c r="V552" s="203" t="s">
        <v>13</v>
      </c>
      <c r="W552" s="244"/>
    </row>
    <row r="553" spans="1:23" ht="15.75" x14ac:dyDescent="0.25">
      <c r="A553" s="96"/>
      <c r="B553" s="97"/>
      <c r="C553" s="97"/>
      <c r="D553" s="97"/>
      <c r="E553" s="104"/>
      <c r="F553" s="104"/>
      <c r="G553" s="98"/>
      <c r="H553" s="99"/>
      <c r="I553" s="63"/>
      <c r="J553" s="63">
        <v>1</v>
      </c>
      <c r="K553" s="63"/>
      <c r="L553" s="63"/>
      <c r="M553" s="63"/>
      <c r="N553" s="63"/>
      <c r="O553" s="63"/>
      <c r="P553" s="63"/>
      <c r="Q553" s="63"/>
      <c r="R553" s="63"/>
      <c r="S553" s="251">
        <v>2</v>
      </c>
      <c r="T553" s="247">
        <f t="shared" si="76"/>
        <v>3</v>
      </c>
      <c r="U553" s="299">
        <f t="shared" si="77"/>
        <v>1.3959981386691485E-3</v>
      </c>
      <c r="V553" s="203" t="s">
        <v>14</v>
      </c>
      <c r="W553" s="311"/>
    </row>
    <row r="554" spans="1:23" ht="15.75" x14ac:dyDescent="0.25">
      <c r="A554" s="96"/>
      <c r="B554" s="97"/>
      <c r="C554" s="97"/>
      <c r="D554" s="97"/>
      <c r="E554" s="104"/>
      <c r="F554" s="104"/>
      <c r="G554" s="98"/>
      <c r="H554" s="99">
        <v>19</v>
      </c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251"/>
      <c r="T554" s="247">
        <f t="shared" si="76"/>
        <v>19</v>
      </c>
      <c r="U554" s="299">
        <f t="shared" si="77"/>
        <v>8.8413215449046068E-3</v>
      </c>
      <c r="V554" s="203" t="s">
        <v>30</v>
      </c>
      <c r="W554" s="311"/>
    </row>
    <row r="555" spans="1:23" ht="15.75" x14ac:dyDescent="0.25">
      <c r="A555" s="96"/>
      <c r="B555" s="97"/>
      <c r="C555" s="97"/>
      <c r="D555" s="97"/>
      <c r="E555" s="104"/>
      <c r="F555" s="104"/>
      <c r="G555" s="98"/>
      <c r="H555" s="99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251"/>
      <c r="T555" s="247">
        <f t="shared" si="76"/>
        <v>0</v>
      </c>
      <c r="U555" s="299">
        <f t="shared" si="77"/>
        <v>0</v>
      </c>
      <c r="V555" s="203" t="s">
        <v>31</v>
      </c>
      <c r="W555" s="105"/>
    </row>
    <row r="556" spans="1:23" ht="15.75" x14ac:dyDescent="0.25">
      <c r="A556" s="96"/>
      <c r="B556" s="97"/>
      <c r="C556" s="97"/>
      <c r="D556" s="97"/>
      <c r="E556" s="104"/>
      <c r="F556" s="104"/>
      <c r="G556" s="98"/>
      <c r="H556" s="99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251"/>
      <c r="T556" s="247">
        <f t="shared" si="76"/>
        <v>0</v>
      </c>
      <c r="U556" s="299">
        <f t="shared" si="77"/>
        <v>0</v>
      </c>
      <c r="V556" s="203" t="s">
        <v>168</v>
      </c>
      <c r="W556" s="323"/>
    </row>
    <row r="557" spans="1:23" ht="15.75" x14ac:dyDescent="0.25">
      <c r="A557" s="96"/>
      <c r="B557" s="97"/>
      <c r="C557" s="97"/>
      <c r="D557" s="97"/>
      <c r="E557" s="104"/>
      <c r="F557" s="104"/>
      <c r="G557" s="98"/>
      <c r="H557" s="99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251"/>
      <c r="T557" s="247">
        <f t="shared" si="76"/>
        <v>0</v>
      </c>
      <c r="U557" s="299">
        <f t="shared" si="77"/>
        <v>0</v>
      </c>
      <c r="V557" s="204" t="s">
        <v>202</v>
      </c>
      <c r="W557" s="105"/>
    </row>
    <row r="558" spans="1:23" ht="15.75" x14ac:dyDescent="0.25">
      <c r="A558" s="96"/>
      <c r="B558" s="97"/>
      <c r="C558" s="97"/>
      <c r="D558" s="97"/>
      <c r="E558" s="104"/>
      <c r="F558" s="104"/>
      <c r="G558" s="98"/>
      <c r="H558" s="99">
        <v>2</v>
      </c>
      <c r="I558" s="63"/>
      <c r="J558" s="63">
        <v>3</v>
      </c>
      <c r="K558" s="63"/>
      <c r="L558" s="63">
        <v>1</v>
      </c>
      <c r="M558" s="63"/>
      <c r="N558" s="63"/>
      <c r="O558" s="63"/>
      <c r="P558" s="63"/>
      <c r="Q558" s="63"/>
      <c r="R558" s="63"/>
      <c r="S558" s="251">
        <v>3</v>
      </c>
      <c r="T558" s="247">
        <f t="shared" si="76"/>
        <v>9</v>
      </c>
      <c r="U558" s="299">
        <f t="shared" si="77"/>
        <v>4.1879944160074451E-3</v>
      </c>
      <c r="V558" s="203" t="s">
        <v>0</v>
      </c>
      <c r="W558" s="354"/>
    </row>
    <row r="559" spans="1:23" ht="15.75" x14ac:dyDescent="0.25">
      <c r="A559" s="96"/>
      <c r="B559" s="97"/>
      <c r="C559" s="97"/>
      <c r="D559" s="97"/>
      <c r="E559" s="104"/>
      <c r="F559" s="104"/>
      <c r="G559" s="98"/>
      <c r="H559" s="99">
        <v>7</v>
      </c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251"/>
      <c r="T559" s="247">
        <f t="shared" si="76"/>
        <v>7</v>
      </c>
      <c r="U559" s="299">
        <f t="shared" si="77"/>
        <v>3.2573289902280132E-3</v>
      </c>
      <c r="V559" s="203" t="s">
        <v>11</v>
      </c>
      <c r="W559" s="354"/>
    </row>
    <row r="560" spans="1:23" ht="15.75" x14ac:dyDescent="0.25">
      <c r="A560" s="96"/>
      <c r="B560" s="97"/>
      <c r="C560" s="97"/>
      <c r="D560" s="97"/>
      <c r="E560" s="104"/>
      <c r="F560" s="104" t="s">
        <v>100</v>
      </c>
      <c r="G560" s="98"/>
      <c r="H560" s="99">
        <v>7</v>
      </c>
      <c r="I560" s="63"/>
      <c r="J560" s="63">
        <v>1</v>
      </c>
      <c r="K560" s="63"/>
      <c r="L560" s="63"/>
      <c r="M560" s="63"/>
      <c r="N560" s="63"/>
      <c r="O560" s="63"/>
      <c r="P560" s="63"/>
      <c r="Q560" s="63"/>
      <c r="R560" s="63"/>
      <c r="S560" s="251">
        <v>10</v>
      </c>
      <c r="T560" s="247">
        <f t="shared" si="76"/>
        <v>18</v>
      </c>
      <c r="U560" s="299">
        <f t="shared" si="77"/>
        <v>8.3759888320148902E-3</v>
      </c>
      <c r="V560" s="203" t="s">
        <v>33</v>
      </c>
      <c r="W560" s="326"/>
    </row>
    <row r="561" spans="1:23" ht="15.75" x14ac:dyDescent="0.25">
      <c r="A561" s="96"/>
      <c r="B561" s="97"/>
      <c r="C561" s="97"/>
      <c r="D561" s="97"/>
      <c r="E561" s="104"/>
      <c r="F561" s="104"/>
      <c r="G561" s="98"/>
      <c r="H561" s="99"/>
      <c r="I561" s="63"/>
      <c r="J561" s="63"/>
      <c r="K561" s="63"/>
      <c r="L561" s="63">
        <v>18</v>
      </c>
      <c r="M561" s="63"/>
      <c r="N561" s="63"/>
      <c r="O561" s="63"/>
      <c r="P561" s="63"/>
      <c r="Q561" s="63"/>
      <c r="R561" s="63"/>
      <c r="S561" s="251"/>
      <c r="T561" s="247">
        <f t="shared" si="76"/>
        <v>18</v>
      </c>
      <c r="U561" s="299">
        <f t="shared" si="77"/>
        <v>8.3759888320148902E-3</v>
      </c>
      <c r="V561" s="204" t="s">
        <v>27</v>
      </c>
      <c r="W561" s="354"/>
    </row>
    <row r="562" spans="1:23" ht="15.75" x14ac:dyDescent="0.25">
      <c r="A562" s="96"/>
      <c r="B562" s="97"/>
      <c r="C562" s="97"/>
      <c r="D562" s="97"/>
      <c r="E562" s="104"/>
      <c r="F562" s="104"/>
      <c r="G562" s="109"/>
      <c r="H562" s="110">
        <v>1</v>
      </c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251"/>
      <c r="T562" s="247">
        <f t="shared" si="76"/>
        <v>1</v>
      </c>
      <c r="U562" s="299">
        <f t="shared" si="77"/>
        <v>4.6533271288971617E-4</v>
      </c>
      <c r="V562" s="204" t="s">
        <v>26</v>
      </c>
      <c r="W562" s="212"/>
    </row>
    <row r="563" spans="1:23" ht="15.75" x14ac:dyDescent="0.25">
      <c r="A563" s="96"/>
      <c r="B563" s="97"/>
      <c r="C563" s="97"/>
      <c r="D563" s="97"/>
      <c r="E563" s="104"/>
      <c r="F563" s="104"/>
      <c r="G563" s="109"/>
      <c r="H563" s="110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251"/>
      <c r="T563" s="247">
        <f t="shared" si="76"/>
        <v>0</v>
      </c>
      <c r="U563" s="299">
        <f t="shared" si="77"/>
        <v>0</v>
      </c>
      <c r="V563" s="204" t="s">
        <v>85</v>
      </c>
      <c r="W563" s="212"/>
    </row>
    <row r="564" spans="1:23" ht="15.75" x14ac:dyDescent="0.25">
      <c r="A564" s="96"/>
      <c r="B564" s="97"/>
      <c r="C564" s="97"/>
      <c r="D564" s="97"/>
      <c r="E564" s="104"/>
      <c r="F564" s="104"/>
      <c r="G564" s="109"/>
      <c r="H564" s="110"/>
      <c r="I564" s="63"/>
      <c r="J564" s="63">
        <v>2</v>
      </c>
      <c r="K564" s="63"/>
      <c r="L564" s="63"/>
      <c r="M564" s="63"/>
      <c r="N564" s="63"/>
      <c r="O564" s="63"/>
      <c r="P564" s="63"/>
      <c r="Q564" s="63"/>
      <c r="R564" s="63"/>
      <c r="S564" s="251"/>
      <c r="T564" s="247">
        <f t="shared" si="76"/>
        <v>2</v>
      </c>
      <c r="U564" s="299">
        <f t="shared" si="77"/>
        <v>9.3066542577943234E-4</v>
      </c>
      <c r="V564" s="204" t="s">
        <v>363</v>
      </c>
      <c r="W564" s="326"/>
    </row>
    <row r="565" spans="1:23" ht="15.75" x14ac:dyDescent="0.25">
      <c r="A565" s="96"/>
      <c r="B565" s="97"/>
      <c r="C565" s="97"/>
      <c r="D565" s="97"/>
      <c r="E565" s="104"/>
      <c r="F565" s="104"/>
      <c r="G565" s="109"/>
      <c r="H565" s="464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254"/>
      <c r="T565" s="247">
        <f t="shared" si="76"/>
        <v>0</v>
      </c>
      <c r="U565" s="299">
        <f t="shared" si="77"/>
        <v>0</v>
      </c>
      <c r="V565" s="203" t="s">
        <v>419</v>
      </c>
      <c r="W565" s="103"/>
    </row>
    <row r="566" spans="1:23" ht="16.5" thickBot="1" x14ac:dyDescent="0.3">
      <c r="A566" s="96"/>
      <c r="B566" s="97"/>
      <c r="C566" s="97"/>
      <c r="D566" s="97"/>
      <c r="E566" s="104"/>
      <c r="F566" s="104"/>
      <c r="G566" s="109"/>
      <c r="H566" s="186"/>
      <c r="I566" s="187"/>
      <c r="J566" s="187">
        <v>64</v>
      </c>
      <c r="K566" s="187"/>
      <c r="L566" s="187">
        <v>23</v>
      </c>
      <c r="M566" s="187"/>
      <c r="N566" s="187"/>
      <c r="O566" s="187"/>
      <c r="P566" s="187"/>
      <c r="Q566" s="187"/>
      <c r="R566" s="187"/>
      <c r="S566" s="252"/>
      <c r="T566" s="248">
        <f t="shared" si="76"/>
        <v>87</v>
      </c>
      <c r="U566" s="245">
        <f>($T566)/$D$548</f>
        <v>4.0483946021405308E-2</v>
      </c>
      <c r="V566" s="205" t="s">
        <v>364</v>
      </c>
      <c r="W566" s="212"/>
    </row>
    <row r="567" spans="1:23" ht="15.75" x14ac:dyDescent="0.25">
      <c r="A567" s="96"/>
      <c r="B567" s="97"/>
      <c r="C567" s="97"/>
      <c r="D567" s="97"/>
      <c r="E567" s="104"/>
      <c r="F567" s="104"/>
      <c r="G567" s="98"/>
      <c r="H567" s="90"/>
      <c r="I567" s="111">
        <v>3</v>
      </c>
      <c r="J567" s="111"/>
      <c r="K567" s="111">
        <v>1</v>
      </c>
      <c r="L567" s="111"/>
      <c r="M567" s="111"/>
      <c r="N567" s="111"/>
      <c r="O567" s="111"/>
      <c r="P567" s="111"/>
      <c r="Q567" s="111"/>
      <c r="R567" s="111"/>
      <c r="S567" s="253"/>
      <c r="T567" s="249">
        <f t="shared" si="76"/>
        <v>0</v>
      </c>
      <c r="U567" s="183">
        <f>($T567)/$D$548</f>
        <v>0</v>
      </c>
      <c r="V567" s="206" t="s">
        <v>10</v>
      </c>
      <c r="W567" s="106"/>
    </row>
    <row r="568" spans="1:23" ht="15.75" x14ac:dyDescent="0.25">
      <c r="A568" s="96"/>
      <c r="B568" s="97"/>
      <c r="C568" s="97"/>
      <c r="D568" s="97"/>
      <c r="E568" s="104"/>
      <c r="F568" s="104"/>
      <c r="G568" s="98"/>
      <c r="H568" s="99"/>
      <c r="I568" s="213">
        <v>1</v>
      </c>
      <c r="J568" s="63"/>
      <c r="K568" s="63"/>
      <c r="L568" s="63"/>
      <c r="M568" s="63"/>
      <c r="N568" s="63"/>
      <c r="O568" s="63"/>
      <c r="P568" s="63"/>
      <c r="Q568" s="63"/>
      <c r="R568" s="63"/>
      <c r="S568" s="251"/>
      <c r="T568" s="247">
        <f t="shared" si="76"/>
        <v>0</v>
      </c>
      <c r="U568" s="93">
        <f>($T568)/$D$548</f>
        <v>0</v>
      </c>
      <c r="V568" s="331" t="s">
        <v>94</v>
      </c>
      <c r="W568" s="106"/>
    </row>
    <row r="569" spans="1:23" ht="15.75" x14ac:dyDescent="0.25">
      <c r="A569" s="96"/>
      <c r="B569" s="97"/>
      <c r="C569" s="97"/>
      <c r="D569" s="97"/>
      <c r="E569" s="104"/>
      <c r="F569" s="104"/>
      <c r="G569" s="98"/>
      <c r="H569" s="99"/>
      <c r="I569" s="214">
        <v>3</v>
      </c>
      <c r="J569" s="63"/>
      <c r="K569" s="63"/>
      <c r="L569" s="63"/>
      <c r="M569" s="63"/>
      <c r="N569" s="63"/>
      <c r="O569" s="63"/>
      <c r="P569" s="63"/>
      <c r="Q569" s="63"/>
      <c r="R569" s="63"/>
      <c r="S569" s="251">
        <v>5</v>
      </c>
      <c r="T569" s="247">
        <f t="shared" si="76"/>
        <v>5</v>
      </c>
      <c r="U569" s="93">
        <f t="shared" ref="U569:U580" si="78">($T569)/$D$548</f>
        <v>2.3266635644485808E-3</v>
      </c>
      <c r="V569" s="203" t="s">
        <v>3</v>
      </c>
      <c r="W569" s="105"/>
    </row>
    <row r="570" spans="1:23" ht="15.75" x14ac:dyDescent="0.25">
      <c r="A570" s="96"/>
      <c r="B570" s="97"/>
      <c r="C570" s="97"/>
      <c r="D570" s="97"/>
      <c r="E570" s="97"/>
      <c r="F570" s="104"/>
      <c r="G570" s="98"/>
      <c r="H570" s="99"/>
      <c r="I570" s="214">
        <v>1</v>
      </c>
      <c r="J570" s="63"/>
      <c r="K570" s="63"/>
      <c r="L570" s="63"/>
      <c r="M570" s="63"/>
      <c r="N570" s="63"/>
      <c r="O570" s="63"/>
      <c r="P570" s="63"/>
      <c r="Q570" s="63"/>
      <c r="R570" s="63"/>
      <c r="S570" s="251"/>
      <c r="T570" s="247">
        <f>SUM(H570,J570,L570,N570,P570,R570,S570)</f>
        <v>0</v>
      </c>
      <c r="U570" s="93">
        <f t="shared" si="78"/>
        <v>0</v>
      </c>
      <c r="V570" s="203" t="s">
        <v>7</v>
      </c>
      <c r="W570" s="106"/>
    </row>
    <row r="571" spans="1:23" ht="15.75" x14ac:dyDescent="0.25">
      <c r="A571" s="96"/>
      <c r="B571" s="97"/>
      <c r="C571" s="97"/>
      <c r="D571" s="97"/>
      <c r="E571" s="97"/>
      <c r="F571" s="104"/>
      <c r="G571" s="98"/>
      <c r="H571" s="99"/>
      <c r="I571" s="214">
        <v>132</v>
      </c>
      <c r="J571" s="63"/>
      <c r="K571" s="63">
        <v>35</v>
      </c>
      <c r="L571" s="63">
        <v>22</v>
      </c>
      <c r="M571" s="63"/>
      <c r="N571" s="63"/>
      <c r="O571" s="63"/>
      <c r="P571" s="63"/>
      <c r="Q571" s="63"/>
      <c r="R571" s="63"/>
      <c r="S571" s="251"/>
      <c r="T571" s="247">
        <f t="shared" ref="T571:T575" si="79">SUM(H571,J571,L571,N571,P571,R571,S571)</f>
        <v>22</v>
      </c>
      <c r="U571" s="93">
        <f t="shared" si="78"/>
        <v>1.0237319683573755E-2</v>
      </c>
      <c r="V571" s="203" t="s">
        <v>8</v>
      </c>
      <c r="W571" s="354"/>
    </row>
    <row r="572" spans="1:23" ht="15.75" x14ac:dyDescent="0.25">
      <c r="A572" s="96"/>
      <c r="B572" s="97"/>
      <c r="C572" s="97"/>
      <c r="D572" s="97"/>
      <c r="E572" s="97"/>
      <c r="F572" s="104"/>
      <c r="G572" s="98"/>
      <c r="H572" s="99"/>
      <c r="I572" s="214"/>
      <c r="J572" s="63"/>
      <c r="K572" s="63"/>
      <c r="L572" s="63"/>
      <c r="M572" s="63"/>
      <c r="N572" s="63"/>
      <c r="O572" s="63"/>
      <c r="P572" s="63"/>
      <c r="Q572" s="63"/>
      <c r="R572" s="63"/>
      <c r="S572" s="251"/>
      <c r="T572" s="247">
        <f t="shared" si="79"/>
        <v>0</v>
      </c>
      <c r="U572" s="93">
        <f t="shared" si="78"/>
        <v>0</v>
      </c>
      <c r="V572" s="203" t="s">
        <v>77</v>
      </c>
      <c r="W572" s="354" t="s">
        <v>198</v>
      </c>
    </row>
    <row r="573" spans="1:23" ht="15.75" x14ac:dyDescent="0.25">
      <c r="A573" s="96"/>
      <c r="B573" s="97"/>
      <c r="C573" s="97"/>
      <c r="D573" s="97"/>
      <c r="E573" s="97"/>
      <c r="F573" s="104"/>
      <c r="G573" s="98"/>
      <c r="H573" s="99"/>
      <c r="I573" s="214">
        <v>4</v>
      </c>
      <c r="J573" s="63"/>
      <c r="K573" s="63"/>
      <c r="L573" s="63"/>
      <c r="M573" s="63"/>
      <c r="N573" s="63"/>
      <c r="O573" s="63"/>
      <c r="P573" s="63"/>
      <c r="Q573" s="63"/>
      <c r="R573" s="63"/>
      <c r="S573" s="251">
        <v>1</v>
      </c>
      <c r="T573" s="247">
        <f t="shared" si="79"/>
        <v>1</v>
      </c>
      <c r="U573" s="93">
        <f t="shared" si="78"/>
        <v>4.6533271288971617E-4</v>
      </c>
      <c r="V573" s="203" t="s">
        <v>19</v>
      </c>
      <c r="W573" s="354" t="s">
        <v>431</v>
      </c>
    </row>
    <row r="574" spans="1:23" ht="15.75" x14ac:dyDescent="0.25">
      <c r="A574" s="96"/>
      <c r="B574" s="97"/>
      <c r="C574" s="97"/>
      <c r="D574" s="97"/>
      <c r="E574" s="97"/>
      <c r="F574" s="104"/>
      <c r="G574" s="98"/>
      <c r="H574" s="99"/>
      <c r="I574" s="214"/>
      <c r="J574" s="63"/>
      <c r="K574" s="63"/>
      <c r="L574" s="63"/>
      <c r="M574" s="63"/>
      <c r="N574" s="63"/>
      <c r="O574" s="63"/>
      <c r="P574" s="63"/>
      <c r="Q574" s="63"/>
      <c r="R574" s="63"/>
      <c r="S574" s="251"/>
      <c r="T574" s="247">
        <f t="shared" si="79"/>
        <v>0</v>
      </c>
      <c r="U574" s="93">
        <f t="shared" si="78"/>
        <v>0</v>
      </c>
      <c r="V574" s="203" t="s">
        <v>78</v>
      </c>
      <c r="W574" s="354"/>
    </row>
    <row r="575" spans="1:23" ht="15.75" x14ac:dyDescent="0.25">
      <c r="A575" s="96"/>
      <c r="B575" s="97"/>
      <c r="C575" s="97"/>
      <c r="D575" s="97"/>
      <c r="E575" s="97"/>
      <c r="F575" s="104"/>
      <c r="G575" s="98"/>
      <c r="H575" s="99"/>
      <c r="I575" s="214">
        <v>1</v>
      </c>
      <c r="J575" s="63"/>
      <c r="K575" s="63"/>
      <c r="L575" s="63"/>
      <c r="M575" s="63"/>
      <c r="N575" s="63"/>
      <c r="O575" s="63"/>
      <c r="P575" s="63"/>
      <c r="Q575" s="63"/>
      <c r="R575" s="63"/>
      <c r="S575" s="251">
        <v>1</v>
      </c>
      <c r="T575" s="247">
        <f t="shared" si="79"/>
        <v>1</v>
      </c>
      <c r="U575" s="93">
        <f t="shared" si="78"/>
        <v>4.6533271288971617E-4</v>
      </c>
      <c r="V575" s="332" t="s">
        <v>365</v>
      </c>
      <c r="W575" s="354"/>
    </row>
    <row r="576" spans="1:23" ht="15.75" x14ac:dyDescent="0.25">
      <c r="A576" s="96"/>
      <c r="B576" s="97"/>
      <c r="C576" s="97"/>
      <c r="D576" s="97"/>
      <c r="E576" s="104"/>
      <c r="F576" s="104"/>
      <c r="G576" s="98"/>
      <c r="H576" s="99"/>
      <c r="I576" s="214">
        <v>21</v>
      </c>
      <c r="J576" s="63"/>
      <c r="K576" s="63">
        <v>2</v>
      </c>
      <c r="L576" s="63"/>
      <c r="M576" s="63"/>
      <c r="N576" s="63"/>
      <c r="O576" s="63"/>
      <c r="P576" s="63"/>
      <c r="Q576" s="63"/>
      <c r="R576" s="63"/>
      <c r="S576" s="251"/>
      <c r="T576" s="247">
        <f>SUM(H576,J576,L576,N576,P576,R576,S576)</f>
        <v>0</v>
      </c>
      <c r="U576" s="93">
        <f t="shared" si="78"/>
        <v>0</v>
      </c>
      <c r="V576" s="203" t="s">
        <v>12</v>
      </c>
      <c r="W576" s="326"/>
    </row>
    <row r="577" spans="1:23" ht="15.75" x14ac:dyDescent="0.25">
      <c r="A577" s="96"/>
      <c r="B577" s="97"/>
      <c r="C577" s="97"/>
      <c r="D577" s="97"/>
      <c r="E577" s="104"/>
      <c r="F577" s="104"/>
      <c r="G577" s="98"/>
      <c r="H577" s="99"/>
      <c r="I577" s="63">
        <v>11</v>
      </c>
      <c r="J577" s="63"/>
      <c r="K577" s="63"/>
      <c r="L577" s="63"/>
      <c r="M577" s="63"/>
      <c r="N577" s="63"/>
      <c r="O577" s="63"/>
      <c r="P577" s="63"/>
      <c r="Q577" s="63"/>
      <c r="R577" s="63"/>
      <c r="S577" s="251"/>
      <c r="T577" s="247">
        <f t="shared" ref="T577:T581" si="80">SUM(H577,J577,L577,N577,P577,R577,S577)</f>
        <v>0</v>
      </c>
      <c r="U577" s="93">
        <f t="shared" si="78"/>
        <v>0</v>
      </c>
      <c r="V577" s="204" t="s">
        <v>164</v>
      </c>
      <c r="W577" s="354"/>
    </row>
    <row r="578" spans="1:23" ht="15.75" x14ac:dyDescent="0.25">
      <c r="A578" s="96"/>
      <c r="B578" s="97"/>
      <c r="C578" s="97"/>
      <c r="D578" s="97"/>
      <c r="E578" s="104"/>
      <c r="F578" s="104"/>
      <c r="G578" s="98"/>
      <c r="H578" s="99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251"/>
      <c r="T578" s="247">
        <f t="shared" si="80"/>
        <v>0</v>
      </c>
      <c r="U578" s="93">
        <f t="shared" si="78"/>
        <v>0</v>
      </c>
      <c r="V578" s="204" t="s">
        <v>375</v>
      </c>
      <c r="W578" s="478"/>
    </row>
    <row r="579" spans="1:23" ht="15.75" x14ac:dyDescent="0.25">
      <c r="A579" s="96"/>
      <c r="B579" s="97"/>
      <c r="C579" s="97"/>
      <c r="D579" s="97"/>
      <c r="E579" s="104"/>
      <c r="F579" s="104"/>
      <c r="G579" s="98"/>
      <c r="H579" s="99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251"/>
      <c r="T579" s="247">
        <f t="shared" si="80"/>
        <v>0</v>
      </c>
      <c r="U579" s="93">
        <f t="shared" si="78"/>
        <v>0</v>
      </c>
      <c r="V579" s="204" t="s">
        <v>318</v>
      </c>
      <c r="W579" s="326"/>
    </row>
    <row r="580" spans="1:23" ht="15.75" x14ac:dyDescent="0.25">
      <c r="A580" s="96"/>
      <c r="B580" s="97"/>
      <c r="C580" s="97"/>
      <c r="D580" s="97"/>
      <c r="E580" s="104"/>
      <c r="F580" s="104"/>
      <c r="G580" s="98"/>
      <c r="H580" s="107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254"/>
      <c r="T580" s="247">
        <f t="shared" si="80"/>
        <v>0</v>
      </c>
      <c r="U580" s="93">
        <f t="shared" si="78"/>
        <v>0</v>
      </c>
      <c r="V580" s="479" t="s">
        <v>92</v>
      </c>
      <c r="W580" s="326"/>
    </row>
    <row r="581" spans="1:23" ht="16.5" thickBot="1" x14ac:dyDescent="0.3">
      <c r="A581" s="96"/>
      <c r="B581" s="97"/>
      <c r="C581" s="97"/>
      <c r="D581" s="97"/>
      <c r="E581" s="104"/>
      <c r="F581" s="104"/>
      <c r="G581" s="98"/>
      <c r="H581" s="107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254"/>
      <c r="T581" s="589">
        <f t="shared" si="80"/>
        <v>0</v>
      </c>
      <c r="U581" s="299">
        <f>($T581)/$D$548</f>
        <v>0</v>
      </c>
      <c r="V581" s="357" t="s">
        <v>94</v>
      </c>
      <c r="W581" s="326"/>
    </row>
    <row r="582" spans="1:23" ht="16.5" thickBot="1" x14ac:dyDescent="0.3">
      <c r="A582" s="96"/>
      <c r="B582" s="97"/>
      <c r="C582" s="97"/>
      <c r="D582" s="97"/>
      <c r="E582" s="104"/>
      <c r="F582" s="104"/>
      <c r="G582" s="98"/>
      <c r="H582" s="430"/>
      <c r="I582" s="431"/>
      <c r="J582" s="432"/>
      <c r="K582" s="431"/>
      <c r="L582" s="431"/>
      <c r="M582" s="431"/>
      <c r="N582" s="431"/>
      <c r="O582" s="431"/>
      <c r="P582" s="431"/>
      <c r="Q582" s="431"/>
      <c r="R582" s="431"/>
      <c r="S582" s="431"/>
      <c r="T582" s="433"/>
      <c r="U582" s="433"/>
      <c r="V582" s="441" t="s">
        <v>267</v>
      </c>
      <c r="W582" s="354"/>
    </row>
    <row r="583" spans="1:23" ht="15.75" x14ac:dyDescent="0.25">
      <c r="A583" s="96"/>
      <c r="B583" s="97"/>
      <c r="C583" s="97"/>
      <c r="D583" s="97"/>
      <c r="E583" s="104"/>
      <c r="F583" s="104"/>
      <c r="G583" s="109"/>
      <c r="H583" s="90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250"/>
      <c r="T583" s="249">
        <f t="shared" ref="T583:T592" si="81">SUM(H583,J583,L583,N583,P583,R583,S583)</f>
        <v>0</v>
      </c>
      <c r="U583" s="183">
        <f>($T583)/$D$548</f>
        <v>0</v>
      </c>
      <c r="V583" s="202" t="s">
        <v>89</v>
      </c>
      <c r="W583" s="354"/>
    </row>
    <row r="584" spans="1:23" ht="15.75" x14ac:dyDescent="0.25">
      <c r="A584" s="96"/>
      <c r="B584" s="97"/>
      <c r="C584" s="97"/>
      <c r="D584" s="97"/>
      <c r="E584" s="104"/>
      <c r="F584" s="104"/>
      <c r="G584" s="109"/>
      <c r="H584" s="99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251"/>
      <c r="T584" s="247">
        <f t="shared" si="81"/>
        <v>0</v>
      </c>
      <c r="U584" s="183">
        <f>($T584)/$D$548</f>
        <v>0</v>
      </c>
      <c r="V584" s="203" t="s">
        <v>83</v>
      </c>
      <c r="W584" s="126"/>
    </row>
    <row r="585" spans="1:23" x14ac:dyDescent="0.25">
      <c r="A585" s="96"/>
      <c r="B585" s="97"/>
      <c r="C585" s="97"/>
      <c r="D585" s="97"/>
      <c r="E585" s="104"/>
      <c r="F585" s="104"/>
      <c r="G585" s="109"/>
      <c r="H585" s="99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251"/>
      <c r="T585" s="247">
        <f t="shared" si="81"/>
        <v>0</v>
      </c>
      <c r="U585" s="183">
        <f t="shared" ref="U585:U591" si="82">($T585)/$D$548</f>
        <v>0</v>
      </c>
      <c r="V585" s="355" t="s">
        <v>11</v>
      </c>
      <c r="W585" s="326" t="s">
        <v>427</v>
      </c>
    </row>
    <row r="586" spans="1:23" ht="15.75" x14ac:dyDescent="0.25">
      <c r="A586" s="96"/>
      <c r="B586" s="97"/>
      <c r="C586" s="97"/>
      <c r="D586" s="97"/>
      <c r="E586" s="104"/>
      <c r="F586" s="104"/>
      <c r="G586" s="109"/>
      <c r="H586" s="99">
        <v>1</v>
      </c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251"/>
      <c r="T586" s="247">
        <f t="shared" si="81"/>
        <v>1</v>
      </c>
      <c r="U586" s="183">
        <f t="shared" si="82"/>
        <v>4.6533271288971617E-4</v>
      </c>
      <c r="V586" s="203" t="s">
        <v>12</v>
      </c>
      <c r="W586" s="354" t="s">
        <v>399</v>
      </c>
    </row>
    <row r="587" spans="1:23" ht="15.75" x14ac:dyDescent="0.25">
      <c r="A587" s="96"/>
      <c r="B587" s="97"/>
      <c r="C587" s="97"/>
      <c r="D587" s="97"/>
      <c r="E587" s="104"/>
      <c r="F587" s="104"/>
      <c r="G587" s="109"/>
      <c r="H587" s="99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251"/>
      <c r="T587" s="247">
        <f t="shared" si="81"/>
        <v>0</v>
      </c>
      <c r="U587" s="183">
        <f t="shared" si="82"/>
        <v>0</v>
      </c>
      <c r="V587" s="204" t="s">
        <v>85</v>
      </c>
      <c r="W587" s="126" t="s">
        <v>434</v>
      </c>
    </row>
    <row r="588" spans="1:23" ht="15.75" x14ac:dyDescent="0.25">
      <c r="A588" s="96"/>
      <c r="B588" s="97"/>
      <c r="C588" s="97"/>
      <c r="D588" s="97"/>
      <c r="E588" s="104"/>
      <c r="F588" s="104"/>
      <c r="G588" s="109"/>
      <c r="H588" s="99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251"/>
      <c r="T588" s="247">
        <f t="shared" si="81"/>
        <v>0</v>
      </c>
      <c r="U588" s="183">
        <f t="shared" si="82"/>
        <v>0</v>
      </c>
      <c r="V588" s="204" t="s">
        <v>26</v>
      </c>
      <c r="W588" s="326" t="s">
        <v>429</v>
      </c>
    </row>
    <row r="589" spans="1:23" ht="15.75" x14ac:dyDescent="0.25">
      <c r="A589" s="96"/>
      <c r="B589" s="97"/>
      <c r="C589" s="97"/>
      <c r="D589" s="97"/>
      <c r="E589" s="104"/>
      <c r="F589" s="104"/>
      <c r="G589" s="109"/>
      <c r="H589" s="107">
        <v>2</v>
      </c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254"/>
      <c r="T589" s="247">
        <f t="shared" si="81"/>
        <v>2</v>
      </c>
      <c r="U589" s="183">
        <f t="shared" si="82"/>
        <v>9.3066542577943234E-4</v>
      </c>
      <c r="V589" s="207" t="s">
        <v>35</v>
      </c>
      <c r="W589" s="326" t="s">
        <v>430</v>
      </c>
    </row>
    <row r="590" spans="1:23" ht="15.75" x14ac:dyDescent="0.25">
      <c r="A590" s="96"/>
      <c r="B590" s="97"/>
      <c r="C590" s="97"/>
      <c r="D590" s="97"/>
      <c r="E590" s="104"/>
      <c r="F590" s="104"/>
      <c r="G590" s="109"/>
      <c r="H590" s="107">
        <v>11</v>
      </c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254"/>
      <c r="T590" s="247">
        <f t="shared" si="81"/>
        <v>11</v>
      </c>
      <c r="U590" s="183">
        <f t="shared" si="82"/>
        <v>5.1186598417868774E-3</v>
      </c>
      <c r="V590" s="203" t="s">
        <v>148</v>
      </c>
      <c r="W590" s="326" t="s">
        <v>428</v>
      </c>
    </row>
    <row r="591" spans="1:23" ht="15.75" x14ac:dyDescent="0.25">
      <c r="A591" s="96"/>
      <c r="B591" s="97"/>
      <c r="C591" s="97"/>
      <c r="D591" s="97"/>
      <c r="E591" s="104"/>
      <c r="F591" s="104"/>
      <c r="G591" s="109"/>
      <c r="H591" s="107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254"/>
      <c r="T591" s="247">
        <f t="shared" si="81"/>
        <v>0</v>
      </c>
      <c r="U591" s="183">
        <f t="shared" si="82"/>
        <v>0</v>
      </c>
      <c r="V591" s="203" t="s">
        <v>82</v>
      </c>
      <c r="W591" s="354"/>
    </row>
    <row r="592" spans="1:23" ht="16.5" thickBot="1" x14ac:dyDescent="0.3">
      <c r="A592" s="117"/>
      <c r="B592" s="118"/>
      <c r="C592" s="118"/>
      <c r="D592" s="118"/>
      <c r="E592" s="119"/>
      <c r="F592" s="119"/>
      <c r="G592" s="120"/>
      <c r="H592" s="107">
        <v>2</v>
      </c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254"/>
      <c r="T592" s="247">
        <f t="shared" si="81"/>
        <v>2</v>
      </c>
      <c r="U592" s="299">
        <f>($T592)/$D$548</f>
        <v>9.3066542577943234E-4</v>
      </c>
      <c r="V592" s="205" t="s">
        <v>71</v>
      </c>
      <c r="W592" s="352"/>
    </row>
    <row r="593" spans="1:23" ht="15.75" thickBot="1" x14ac:dyDescent="0.3">
      <c r="A593" s="122"/>
      <c r="B593" s="122"/>
      <c r="C593" s="122"/>
      <c r="D593" s="122"/>
      <c r="E593" s="122"/>
      <c r="F593" s="122"/>
      <c r="G593" s="47" t="s">
        <v>4</v>
      </c>
      <c r="H593" s="123">
        <f>SUM(H549:H592)</f>
        <v>148</v>
      </c>
      <c r="I593" s="123">
        <f t="shared" ref="I593:S593" si="83">SUM(I549:I592)</f>
        <v>177</v>
      </c>
      <c r="J593" s="123">
        <f t="shared" si="83"/>
        <v>81</v>
      </c>
      <c r="K593" s="123">
        <f t="shared" si="83"/>
        <v>38</v>
      </c>
      <c r="L593" s="123">
        <f t="shared" si="83"/>
        <v>70</v>
      </c>
      <c r="M593" s="123">
        <f t="shared" si="83"/>
        <v>0</v>
      </c>
      <c r="N593" s="123">
        <f t="shared" si="83"/>
        <v>0</v>
      </c>
      <c r="O593" s="123">
        <f t="shared" si="83"/>
        <v>0</v>
      </c>
      <c r="P593" s="123">
        <f t="shared" si="83"/>
        <v>0</v>
      </c>
      <c r="Q593" s="123">
        <f t="shared" si="83"/>
        <v>0</v>
      </c>
      <c r="R593" s="123">
        <f t="shared" si="83"/>
        <v>0</v>
      </c>
      <c r="S593" s="123">
        <f t="shared" si="83"/>
        <v>28</v>
      </c>
      <c r="T593" s="198">
        <f>SUM(H593,J593,L593,N593,P593,R593,S593)</f>
        <v>327</v>
      </c>
      <c r="U593" s="333">
        <f>($T593)/$D$548</f>
        <v>0.15216379711493719</v>
      </c>
      <c r="V593" s="40"/>
    </row>
    <row r="595" spans="1:23" ht="15.75" thickBot="1" x14ac:dyDescent="0.3"/>
    <row r="596" spans="1:23" ht="75.75" thickBot="1" x14ac:dyDescent="0.3">
      <c r="A596" s="42" t="s">
        <v>22</v>
      </c>
      <c r="B596" s="42" t="s">
        <v>47</v>
      </c>
      <c r="C596" s="43" t="s">
        <v>52</v>
      </c>
      <c r="D596" s="43" t="s">
        <v>17</v>
      </c>
      <c r="E596" s="42" t="s">
        <v>16</v>
      </c>
      <c r="F596" s="44" t="s">
        <v>1</v>
      </c>
      <c r="G596" s="45" t="s">
        <v>23</v>
      </c>
      <c r="H596" s="46" t="s">
        <v>72</v>
      </c>
      <c r="I596" s="46" t="s">
        <v>73</v>
      </c>
      <c r="J596" s="46" t="s">
        <v>53</v>
      </c>
      <c r="K596" s="46" t="s">
        <v>58</v>
      </c>
      <c r="L596" s="46" t="s">
        <v>54</v>
      </c>
      <c r="M596" s="46" t="s">
        <v>59</v>
      </c>
      <c r="N596" s="46" t="s">
        <v>55</v>
      </c>
      <c r="O596" s="46" t="s">
        <v>60</v>
      </c>
      <c r="P596" s="46" t="s">
        <v>56</v>
      </c>
      <c r="Q596" s="46" t="s">
        <v>74</v>
      </c>
      <c r="R596" s="46" t="s">
        <v>115</v>
      </c>
      <c r="S596" s="46" t="s">
        <v>41</v>
      </c>
      <c r="T596" s="46" t="s">
        <v>4</v>
      </c>
      <c r="U596" s="42" t="s">
        <v>2</v>
      </c>
      <c r="V596" s="80" t="s">
        <v>20</v>
      </c>
      <c r="W596" s="81" t="s">
        <v>6</v>
      </c>
    </row>
    <row r="597" spans="1:23" ht="15.75" thickBot="1" x14ac:dyDescent="0.3">
      <c r="A597" s="316">
        <v>1517980</v>
      </c>
      <c r="B597" s="209" t="s">
        <v>110</v>
      </c>
      <c r="C597" s="316">
        <v>1920</v>
      </c>
      <c r="D597" s="316">
        <v>2039</v>
      </c>
      <c r="E597" s="321">
        <v>1892</v>
      </c>
      <c r="F597" s="322">
        <f>E597/D597</f>
        <v>0.92790583619421285</v>
      </c>
      <c r="G597" s="48">
        <v>45373</v>
      </c>
      <c r="H597" s="82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4"/>
      <c r="T597" s="296"/>
      <c r="U597" s="115"/>
      <c r="V597" s="86" t="s">
        <v>75</v>
      </c>
      <c r="W597" s="353" t="s">
        <v>70</v>
      </c>
    </row>
    <row r="598" spans="1:23" ht="15.75" x14ac:dyDescent="0.25">
      <c r="A598" s="87"/>
      <c r="B598" s="88"/>
      <c r="C598" s="88"/>
      <c r="D598" s="88"/>
      <c r="E598" s="88"/>
      <c r="F598" s="88"/>
      <c r="G598" s="89"/>
      <c r="H598" s="90">
        <v>2</v>
      </c>
      <c r="I598" s="91"/>
      <c r="J598" s="91">
        <v>2</v>
      </c>
      <c r="K598" s="91"/>
      <c r="L598" s="91"/>
      <c r="M598" s="91"/>
      <c r="N598" s="91"/>
      <c r="O598" s="91"/>
      <c r="P598" s="91"/>
      <c r="Q598" s="91"/>
      <c r="R598" s="91"/>
      <c r="S598" s="250">
        <v>2</v>
      </c>
      <c r="T598" s="249">
        <f>SUM(H598,J598,L598,N598,P598,R598,S598)</f>
        <v>6</v>
      </c>
      <c r="U598" s="349">
        <f>($T598)/$D$597</f>
        <v>2.9426189308484553E-3</v>
      </c>
      <c r="V598" s="202" t="s">
        <v>15</v>
      </c>
      <c r="W598" s="210" t="s">
        <v>120</v>
      </c>
    </row>
    <row r="599" spans="1:23" ht="15.75" x14ac:dyDescent="0.25">
      <c r="A599" s="96"/>
      <c r="B599" s="97"/>
      <c r="C599" s="97" t="s">
        <v>100</v>
      </c>
      <c r="D599" s="97"/>
      <c r="E599" s="97"/>
      <c r="F599" s="97"/>
      <c r="G599" s="98"/>
      <c r="H599" s="348">
        <v>1</v>
      </c>
      <c r="I599" s="111"/>
      <c r="J599" s="111"/>
      <c r="K599" s="111"/>
      <c r="L599" s="111"/>
      <c r="M599" s="111"/>
      <c r="N599" s="111"/>
      <c r="O599" s="111"/>
      <c r="P599" s="111"/>
      <c r="Q599" s="111"/>
      <c r="R599" s="111"/>
      <c r="S599" s="253">
        <v>7</v>
      </c>
      <c r="T599" s="249">
        <f>SUM(H599,J599,L599,N599,P599,R599,S599)</f>
        <v>8</v>
      </c>
      <c r="U599" s="299">
        <f>($T599)/$D$597</f>
        <v>3.9234919077979404E-3</v>
      </c>
      <c r="V599" s="206" t="s">
        <v>43</v>
      </c>
      <c r="W599" s="210" t="s">
        <v>317</v>
      </c>
    </row>
    <row r="600" spans="1:23" ht="15.75" x14ac:dyDescent="0.25">
      <c r="A600" s="96"/>
      <c r="B600" s="97"/>
      <c r="C600" s="97"/>
      <c r="D600" s="97"/>
      <c r="E600" s="97"/>
      <c r="F600" s="97"/>
      <c r="G600" s="98"/>
      <c r="H600" s="99">
        <v>9</v>
      </c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251"/>
      <c r="T600" s="247">
        <f t="shared" ref="T600:T618" si="84">SUM(H600,J600,L600,N600,P600,R600,S600)</f>
        <v>9</v>
      </c>
      <c r="U600" s="299">
        <f t="shared" ref="U600:U614" si="85">($T600)/$D$597</f>
        <v>4.4139283962726823E-3</v>
      </c>
      <c r="V600" s="203" t="s">
        <v>5</v>
      </c>
      <c r="W600" s="210" t="s">
        <v>333</v>
      </c>
    </row>
    <row r="601" spans="1:23" ht="15.75" x14ac:dyDescent="0.25">
      <c r="A601" s="96"/>
      <c r="B601" s="97"/>
      <c r="C601" s="97"/>
      <c r="D601" s="97"/>
      <c r="E601" s="104"/>
      <c r="F601" s="104"/>
      <c r="G601" s="98"/>
      <c r="H601" s="99">
        <v>64</v>
      </c>
      <c r="I601" s="63"/>
      <c r="J601" s="63">
        <v>6</v>
      </c>
      <c r="K601" s="63"/>
      <c r="L601" s="63"/>
      <c r="M601" s="63"/>
      <c r="N601" s="63"/>
      <c r="O601" s="63"/>
      <c r="P601" s="63"/>
      <c r="Q601" s="63"/>
      <c r="R601" s="63"/>
      <c r="S601" s="251">
        <v>2</v>
      </c>
      <c r="T601" s="247">
        <f t="shared" si="84"/>
        <v>72</v>
      </c>
      <c r="U601" s="299">
        <f t="shared" si="85"/>
        <v>3.5311427170181459E-2</v>
      </c>
      <c r="V601" s="203" t="s">
        <v>13</v>
      </c>
      <c r="W601" s="244"/>
    </row>
    <row r="602" spans="1:23" ht="15.75" x14ac:dyDescent="0.25">
      <c r="A602" s="96"/>
      <c r="B602" s="97"/>
      <c r="C602" s="97"/>
      <c r="D602" s="97"/>
      <c r="E602" s="104"/>
      <c r="F602" s="104"/>
      <c r="G602" s="98"/>
      <c r="H602" s="99">
        <v>1</v>
      </c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251"/>
      <c r="T602" s="247">
        <f t="shared" si="84"/>
        <v>1</v>
      </c>
      <c r="U602" s="299">
        <f t="shared" si="85"/>
        <v>4.9043648847474255E-4</v>
      </c>
      <c r="V602" s="203" t="s">
        <v>14</v>
      </c>
      <c r="W602" s="311"/>
    </row>
    <row r="603" spans="1:23" ht="15.75" x14ac:dyDescent="0.25">
      <c r="A603" s="96"/>
      <c r="B603" s="97"/>
      <c r="C603" s="97"/>
      <c r="D603" s="97"/>
      <c r="E603" s="104"/>
      <c r="F603" s="104"/>
      <c r="G603" s="98"/>
      <c r="H603" s="99">
        <v>8</v>
      </c>
      <c r="I603" s="63"/>
      <c r="J603" s="63">
        <v>4</v>
      </c>
      <c r="K603" s="63"/>
      <c r="L603" s="63"/>
      <c r="M603" s="63"/>
      <c r="N603" s="63"/>
      <c r="O603" s="63"/>
      <c r="P603" s="63"/>
      <c r="Q603" s="63"/>
      <c r="R603" s="63"/>
      <c r="S603" s="251"/>
      <c r="T603" s="247">
        <f t="shared" si="84"/>
        <v>12</v>
      </c>
      <c r="U603" s="299">
        <f t="shared" si="85"/>
        <v>5.8852378616969106E-3</v>
      </c>
      <c r="V603" s="203" t="s">
        <v>30</v>
      </c>
      <c r="W603" s="311"/>
    </row>
    <row r="604" spans="1:23" ht="15.75" x14ac:dyDescent="0.25">
      <c r="A604" s="96"/>
      <c r="B604" s="97"/>
      <c r="C604" s="97"/>
      <c r="D604" s="97"/>
      <c r="E604" s="104"/>
      <c r="F604" s="104"/>
      <c r="G604" s="98"/>
      <c r="H604" s="99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251"/>
      <c r="T604" s="247">
        <f t="shared" si="84"/>
        <v>0</v>
      </c>
      <c r="U604" s="299">
        <f t="shared" si="85"/>
        <v>0</v>
      </c>
      <c r="V604" s="203" t="s">
        <v>31</v>
      </c>
      <c r="W604" s="105"/>
    </row>
    <row r="605" spans="1:23" ht="15.75" x14ac:dyDescent="0.25">
      <c r="A605" s="96"/>
      <c r="B605" s="97"/>
      <c r="C605" s="97"/>
      <c r="D605" s="97"/>
      <c r="E605" s="104"/>
      <c r="F605" s="104"/>
      <c r="G605" s="98"/>
      <c r="H605" s="99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251"/>
      <c r="T605" s="247">
        <f t="shared" si="84"/>
        <v>0</v>
      </c>
      <c r="U605" s="299">
        <f t="shared" si="85"/>
        <v>0</v>
      </c>
      <c r="V605" s="203" t="s">
        <v>168</v>
      </c>
      <c r="W605" s="323"/>
    </row>
    <row r="606" spans="1:23" ht="15.75" x14ac:dyDescent="0.25">
      <c r="A606" s="96"/>
      <c r="B606" s="97"/>
      <c r="C606" s="97"/>
      <c r="D606" s="97"/>
      <c r="E606" s="104"/>
      <c r="F606" s="104"/>
      <c r="G606" s="98"/>
      <c r="H606" s="99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251"/>
      <c r="T606" s="247">
        <f t="shared" si="84"/>
        <v>0</v>
      </c>
      <c r="U606" s="299">
        <f t="shared" si="85"/>
        <v>0</v>
      </c>
      <c r="V606" s="204" t="s">
        <v>202</v>
      </c>
      <c r="W606" s="105"/>
    </row>
    <row r="607" spans="1:23" ht="15.75" x14ac:dyDescent="0.25">
      <c r="A607" s="96"/>
      <c r="B607" s="97"/>
      <c r="C607" s="97"/>
      <c r="D607" s="97"/>
      <c r="E607" s="104"/>
      <c r="F607" s="104"/>
      <c r="G607" s="98"/>
      <c r="H607" s="99">
        <v>1</v>
      </c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251">
        <v>2</v>
      </c>
      <c r="T607" s="247">
        <f t="shared" si="84"/>
        <v>3</v>
      </c>
      <c r="U607" s="299">
        <f t="shared" si="85"/>
        <v>1.4713094654242277E-3</v>
      </c>
      <c r="V607" s="203" t="s">
        <v>0</v>
      </c>
      <c r="W607" s="354"/>
    </row>
    <row r="608" spans="1:23" ht="15.75" x14ac:dyDescent="0.25">
      <c r="A608" s="96"/>
      <c r="B608" s="97"/>
      <c r="C608" s="97"/>
      <c r="D608" s="97"/>
      <c r="E608" s="104"/>
      <c r="F608" s="104"/>
      <c r="G608" s="98"/>
      <c r="H608" s="99">
        <v>22</v>
      </c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251">
        <v>5</v>
      </c>
      <c r="T608" s="247">
        <f t="shared" si="84"/>
        <v>27</v>
      </c>
      <c r="U608" s="299">
        <f t="shared" si="85"/>
        <v>1.3241785188818049E-2</v>
      </c>
      <c r="V608" s="203" t="s">
        <v>11</v>
      </c>
      <c r="W608" s="354"/>
    </row>
    <row r="609" spans="1:23" ht="15.75" x14ac:dyDescent="0.25">
      <c r="A609" s="96"/>
      <c r="B609" s="97"/>
      <c r="C609" s="97"/>
      <c r="D609" s="97"/>
      <c r="E609" s="104"/>
      <c r="F609" s="104" t="s">
        <v>100</v>
      </c>
      <c r="G609" s="98"/>
      <c r="H609" s="99">
        <v>5</v>
      </c>
      <c r="I609" s="63"/>
      <c r="J609" s="63">
        <v>1</v>
      </c>
      <c r="K609" s="63"/>
      <c r="L609" s="63"/>
      <c r="M609" s="63"/>
      <c r="N609" s="63"/>
      <c r="O609" s="63"/>
      <c r="P609" s="63"/>
      <c r="Q609" s="63"/>
      <c r="R609" s="63"/>
      <c r="S609" s="251"/>
      <c r="T609" s="247">
        <f t="shared" si="84"/>
        <v>6</v>
      </c>
      <c r="U609" s="299">
        <f t="shared" si="85"/>
        <v>2.9426189308484553E-3</v>
      </c>
      <c r="V609" s="203" t="s">
        <v>33</v>
      </c>
      <c r="W609" s="326"/>
    </row>
    <row r="610" spans="1:23" ht="15.75" x14ac:dyDescent="0.25">
      <c r="A610" s="96"/>
      <c r="B610" s="97"/>
      <c r="C610" s="97"/>
      <c r="D610" s="97"/>
      <c r="E610" s="104"/>
      <c r="F610" s="104"/>
      <c r="G610" s="98"/>
      <c r="H610" s="99"/>
      <c r="I610" s="63"/>
      <c r="J610" s="63">
        <v>6</v>
      </c>
      <c r="K610" s="63"/>
      <c r="L610" s="63"/>
      <c r="M610" s="63"/>
      <c r="N610" s="63"/>
      <c r="O610" s="63"/>
      <c r="P610" s="63"/>
      <c r="Q610" s="63"/>
      <c r="R610" s="63">
        <v>1</v>
      </c>
      <c r="S610" s="251"/>
      <c r="T610" s="247">
        <f t="shared" si="84"/>
        <v>7</v>
      </c>
      <c r="U610" s="299">
        <f t="shared" si="85"/>
        <v>3.4330554193231977E-3</v>
      </c>
      <c r="V610" s="204" t="s">
        <v>27</v>
      </c>
      <c r="W610" s="354"/>
    </row>
    <row r="611" spans="1:23" ht="15.75" x14ac:dyDescent="0.25">
      <c r="A611" s="96"/>
      <c r="B611" s="97"/>
      <c r="C611" s="97"/>
      <c r="D611" s="97"/>
      <c r="E611" s="104"/>
      <c r="F611" s="104"/>
      <c r="G611" s="109"/>
      <c r="H611" s="110"/>
      <c r="I611" s="63"/>
      <c r="J611" s="63">
        <v>1</v>
      </c>
      <c r="K611" s="63"/>
      <c r="L611" s="63"/>
      <c r="M611" s="63"/>
      <c r="N611" s="63"/>
      <c r="O611" s="63"/>
      <c r="P611" s="63"/>
      <c r="Q611" s="63"/>
      <c r="R611" s="63"/>
      <c r="S611" s="251"/>
      <c r="T611" s="247">
        <f t="shared" si="84"/>
        <v>1</v>
      </c>
      <c r="U611" s="299">
        <f t="shared" si="85"/>
        <v>4.9043648847474255E-4</v>
      </c>
      <c r="V611" s="204" t="s">
        <v>26</v>
      </c>
      <c r="W611" s="212"/>
    </row>
    <row r="612" spans="1:23" ht="15.75" x14ac:dyDescent="0.25">
      <c r="A612" s="96"/>
      <c r="B612" s="97"/>
      <c r="C612" s="97"/>
      <c r="D612" s="97"/>
      <c r="E612" s="104"/>
      <c r="F612" s="104"/>
      <c r="G612" s="109"/>
      <c r="H612" s="110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251">
        <v>1</v>
      </c>
      <c r="T612" s="247">
        <f t="shared" si="84"/>
        <v>1</v>
      </c>
      <c r="U612" s="299">
        <f t="shared" si="85"/>
        <v>4.9043648847474255E-4</v>
      </c>
      <c r="V612" s="204" t="s">
        <v>205</v>
      </c>
      <c r="W612" s="212"/>
    </row>
    <row r="613" spans="1:23" ht="15.75" x14ac:dyDescent="0.25">
      <c r="A613" s="96"/>
      <c r="B613" s="97"/>
      <c r="C613" s="97"/>
      <c r="D613" s="97"/>
      <c r="E613" s="104"/>
      <c r="F613" s="104"/>
      <c r="G613" s="109"/>
      <c r="H613" s="110"/>
      <c r="I613" s="63"/>
      <c r="J613" s="63">
        <v>1</v>
      </c>
      <c r="K613" s="63"/>
      <c r="L613" s="63"/>
      <c r="M613" s="63"/>
      <c r="N613" s="63"/>
      <c r="O613" s="63"/>
      <c r="P613" s="63"/>
      <c r="Q613" s="63"/>
      <c r="R613" s="63"/>
      <c r="S613" s="251"/>
      <c r="T613" s="247">
        <f t="shared" si="84"/>
        <v>1</v>
      </c>
      <c r="U613" s="299">
        <f t="shared" si="85"/>
        <v>4.9043648847474255E-4</v>
      </c>
      <c r="V613" s="204" t="s">
        <v>363</v>
      </c>
      <c r="W613" s="326"/>
    </row>
    <row r="614" spans="1:23" ht="15.75" x14ac:dyDescent="0.25">
      <c r="A614" s="96"/>
      <c r="B614" s="97"/>
      <c r="C614" s="97"/>
      <c r="D614" s="97"/>
      <c r="E614" s="104"/>
      <c r="F614" s="104"/>
      <c r="G614" s="109"/>
      <c r="H614" s="464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254"/>
      <c r="T614" s="247">
        <f t="shared" si="84"/>
        <v>0</v>
      </c>
      <c r="U614" s="299">
        <f t="shared" si="85"/>
        <v>0</v>
      </c>
      <c r="V614" s="203" t="s">
        <v>419</v>
      </c>
      <c r="W614" s="103"/>
    </row>
    <row r="615" spans="1:23" ht="16.5" thickBot="1" x14ac:dyDescent="0.3">
      <c r="A615" s="96"/>
      <c r="B615" s="97"/>
      <c r="C615" s="97"/>
      <c r="D615" s="97"/>
      <c r="E615" s="104"/>
      <c r="F615" s="104"/>
      <c r="G615" s="109"/>
      <c r="H615" s="186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252"/>
      <c r="T615" s="248">
        <f t="shared" si="84"/>
        <v>0</v>
      </c>
      <c r="U615" s="245">
        <f>($T615)/$D$597</f>
        <v>0</v>
      </c>
      <c r="V615" s="205" t="s">
        <v>364</v>
      </c>
      <c r="W615" s="212"/>
    </row>
    <row r="616" spans="1:23" ht="15.75" x14ac:dyDescent="0.25">
      <c r="A616" s="96"/>
      <c r="B616" s="97"/>
      <c r="C616" s="97"/>
      <c r="D616" s="97"/>
      <c r="E616" s="104"/>
      <c r="F616" s="104"/>
      <c r="G616" s="98"/>
      <c r="H616" s="90"/>
      <c r="I616" s="111">
        <v>3</v>
      </c>
      <c r="J616" s="111"/>
      <c r="K616" s="111"/>
      <c r="L616" s="111"/>
      <c r="M616" s="111"/>
      <c r="N616" s="111"/>
      <c r="O616" s="111"/>
      <c r="P616" s="111"/>
      <c r="Q616" s="111"/>
      <c r="R616" s="111"/>
      <c r="S616" s="253"/>
      <c r="T616" s="249">
        <f t="shared" si="84"/>
        <v>0</v>
      </c>
      <c r="U616" s="183">
        <f>($T616)/$D$597</f>
        <v>0</v>
      </c>
      <c r="V616" s="206" t="s">
        <v>10</v>
      </c>
      <c r="W616" s="106"/>
    </row>
    <row r="617" spans="1:23" ht="15.75" x14ac:dyDescent="0.25">
      <c r="A617" s="96"/>
      <c r="B617" s="97"/>
      <c r="C617" s="97"/>
      <c r="D617" s="97"/>
      <c r="E617" s="104"/>
      <c r="F617" s="104"/>
      <c r="G617" s="98"/>
      <c r="H617" s="99"/>
      <c r="I617" s="213"/>
      <c r="J617" s="63"/>
      <c r="K617" s="63"/>
      <c r="L617" s="63"/>
      <c r="M617" s="63"/>
      <c r="N617" s="63"/>
      <c r="O617" s="63"/>
      <c r="P617" s="63"/>
      <c r="Q617" s="63"/>
      <c r="R617" s="63"/>
      <c r="S617" s="251"/>
      <c r="T617" s="247">
        <f t="shared" si="84"/>
        <v>0</v>
      </c>
      <c r="U617" s="93">
        <f>($T617)/$D$597</f>
        <v>0</v>
      </c>
      <c r="V617" s="331" t="s">
        <v>94</v>
      </c>
      <c r="W617" s="106"/>
    </row>
    <row r="618" spans="1:23" ht="15.75" x14ac:dyDescent="0.25">
      <c r="A618" s="96"/>
      <c r="B618" s="97"/>
      <c r="C618" s="97"/>
      <c r="D618" s="97"/>
      <c r="E618" s="104"/>
      <c r="F618" s="104"/>
      <c r="G618" s="98"/>
      <c r="H618" s="99"/>
      <c r="I618" s="214">
        <v>4</v>
      </c>
      <c r="J618" s="63">
        <v>3</v>
      </c>
      <c r="K618" s="63"/>
      <c r="L618" s="63"/>
      <c r="M618" s="63"/>
      <c r="N618" s="63"/>
      <c r="O618" s="63"/>
      <c r="P618" s="63"/>
      <c r="Q618" s="63"/>
      <c r="R618" s="63"/>
      <c r="S618" s="251">
        <v>7</v>
      </c>
      <c r="T618" s="247">
        <f t="shared" si="84"/>
        <v>10</v>
      </c>
      <c r="U618" s="93">
        <f t="shared" ref="U618:U629" si="86">($T618)/$D$597</f>
        <v>4.9043648847474251E-3</v>
      </c>
      <c r="V618" s="203" t="s">
        <v>3</v>
      </c>
      <c r="W618" s="105"/>
    </row>
    <row r="619" spans="1:23" ht="15.75" x14ac:dyDescent="0.25">
      <c r="A619" s="96"/>
      <c r="B619" s="97"/>
      <c r="C619" s="97"/>
      <c r="D619" s="97"/>
      <c r="E619" s="97"/>
      <c r="F619" s="104"/>
      <c r="G619" s="98"/>
      <c r="H619" s="99"/>
      <c r="I619" s="214">
        <v>22</v>
      </c>
      <c r="J619" s="63"/>
      <c r="K619" s="63"/>
      <c r="L619" s="63"/>
      <c r="M619" s="63"/>
      <c r="N619" s="63"/>
      <c r="O619" s="63"/>
      <c r="P619" s="63"/>
      <c r="Q619" s="63"/>
      <c r="R619" s="63"/>
      <c r="S619" s="251">
        <v>7</v>
      </c>
      <c r="T619" s="247">
        <f>SUM(H619,J619,L619,N619,P619,R619,S619)</f>
        <v>7</v>
      </c>
      <c r="U619" s="93">
        <f t="shared" si="86"/>
        <v>3.4330554193231977E-3</v>
      </c>
      <c r="V619" s="203" t="s">
        <v>7</v>
      </c>
      <c r="W619" s="106"/>
    </row>
    <row r="620" spans="1:23" ht="15.75" x14ac:dyDescent="0.25">
      <c r="A620" s="96"/>
      <c r="B620" s="97"/>
      <c r="C620" s="97"/>
      <c r="D620" s="97"/>
      <c r="E620" s="97"/>
      <c r="F620" s="104"/>
      <c r="G620" s="98"/>
      <c r="H620" s="99"/>
      <c r="I620" s="214"/>
      <c r="J620" s="63"/>
      <c r="K620" s="63"/>
      <c r="L620" s="63"/>
      <c r="M620" s="63"/>
      <c r="N620" s="63"/>
      <c r="O620" s="63"/>
      <c r="P620" s="63"/>
      <c r="Q620" s="63"/>
      <c r="R620" s="63"/>
      <c r="S620" s="251">
        <v>2</v>
      </c>
      <c r="T620" s="247">
        <f t="shared" ref="T620:T624" si="87">SUM(H620,J620,L620,N620,P620,R620,S620)</f>
        <v>2</v>
      </c>
      <c r="U620" s="93">
        <f t="shared" si="86"/>
        <v>9.8087297694948511E-4</v>
      </c>
      <c r="V620" s="203" t="s">
        <v>8</v>
      </c>
      <c r="W620" s="354"/>
    </row>
    <row r="621" spans="1:23" ht="15.75" x14ac:dyDescent="0.25">
      <c r="A621" s="96"/>
      <c r="B621" s="97"/>
      <c r="C621" s="97"/>
      <c r="D621" s="97"/>
      <c r="E621" s="97"/>
      <c r="F621" s="104"/>
      <c r="G621" s="98"/>
      <c r="H621" s="99"/>
      <c r="I621" s="214"/>
      <c r="J621" s="63"/>
      <c r="K621" s="63"/>
      <c r="L621" s="63"/>
      <c r="M621" s="63"/>
      <c r="N621" s="63"/>
      <c r="O621" s="63"/>
      <c r="P621" s="63"/>
      <c r="Q621" s="63"/>
      <c r="R621" s="63"/>
      <c r="S621" s="251"/>
      <c r="T621" s="247">
        <f t="shared" si="87"/>
        <v>0</v>
      </c>
      <c r="U621" s="93">
        <f t="shared" si="86"/>
        <v>0</v>
      </c>
      <c r="V621" s="203" t="s">
        <v>77</v>
      </c>
      <c r="W621" s="354" t="s">
        <v>198</v>
      </c>
    </row>
    <row r="622" spans="1:23" ht="15.75" x14ac:dyDescent="0.25">
      <c r="A622" s="96"/>
      <c r="B622" s="97"/>
      <c r="C622" s="97"/>
      <c r="D622" s="97"/>
      <c r="E622" s="97"/>
      <c r="F622" s="104"/>
      <c r="G622" s="98"/>
      <c r="H622" s="99"/>
      <c r="I622" s="214"/>
      <c r="J622" s="63"/>
      <c r="K622" s="63"/>
      <c r="L622" s="63"/>
      <c r="M622" s="63"/>
      <c r="N622" s="63"/>
      <c r="O622" s="63"/>
      <c r="P622" s="63"/>
      <c r="Q622" s="63"/>
      <c r="R622" s="63"/>
      <c r="S622" s="251"/>
      <c r="T622" s="247">
        <f t="shared" si="87"/>
        <v>0</v>
      </c>
      <c r="U622" s="93">
        <f t="shared" si="86"/>
        <v>0</v>
      </c>
      <c r="V622" s="203" t="s">
        <v>19</v>
      </c>
      <c r="W622" s="354" t="s">
        <v>438</v>
      </c>
    </row>
    <row r="623" spans="1:23" ht="15.75" x14ac:dyDescent="0.25">
      <c r="A623" s="96"/>
      <c r="B623" s="97"/>
      <c r="C623" s="97"/>
      <c r="D623" s="97"/>
      <c r="E623" s="97"/>
      <c r="F623" s="104"/>
      <c r="G623" s="98"/>
      <c r="H623" s="99"/>
      <c r="I623" s="214"/>
      <c r="J623" s="63"/>
      <c r="K623" s="63"/>
      <c r="L623" s="63"/>
      <c r="M623" s="63"/>
      <c r="N623" s="63"/>
      <c r="O623" s="63"/>
      <c r="P623" s="63"/>
      <c r="Q623" s="63"/>
      <c r="R623" s="63"/>
      <c r="S623" s="251"/>
      <c r="T623" s="247">
        <f t="shared" si="87"/>
        <v>0</v>
      </c>
      <c r="U623" s="93">
        <f t="shared" si="86"/>
        <v>0</v>
      </c>
      <c r="V623" s="203" t="s">
        <v>78</v>
      </c>
      <c r="W623" s="354"/>
    </row>
    <row r="624" spans="1:23" ht="15.75" x14ac:dyDescent="0.25">
      <c r="A624" s="96"/>
      <c r="B624" s="97"/>
      <c r="C624" s="97"/>
      <c r="D624" s="97"/>
      <c r="E624" s="97"/>
      <c r="F624" s="104"/>
      <c r="G624" s="98"/>
      <c r="H624" s="99"/>
      <c r="I624" s="214"/>
      <c r="J624" s="63"/>
      <c r="K624" s="63"/>
      <c r="L624" s="63"/>
      <c r="M624" s="63"/>
      <c r="N624" s="63"/>
      <c r="O624" s="63"/>
      <c r="P624" s="63"/>
      <c r="Q624" s="63"/>
      <c r="R624" s="63"/>
      <c r="S624" s="251"/>
      <c r="T624" s="247">
        <f t="shared" si="87"/>
        <v>0</v>
      </c>
      <c r="U624" s="93">
        <f t="shared" si="86"/>
        <v>0</v>
      </c>
      <c r="V624" s="332" t="s">
        <v>365</v>
      </c>
      <c r="W624" s="354"/>
    </row>
    <row r="625" spans="1:23" ht="15.75" x14ac:dyDescent="0.25">
      <c r="A625" s="96"/>
      <c r="B625" s="97"/>
      <c r="C625" s="97"/>
      <c r="D625" s="97"/>
      <c r="E625" s="104"/>
      <c r="F625" s="104"/>
      <c r="G625" s="98"/>
      <c r="H625" s="99"/>
      <c r="I625" s="214">
        <v>18</v>
      </c>
      <c r="J625" s="63">
        <v>3</v>
      </c>
      <c r="K625" s="63"/>
      <c r="L625" s="63"/>
      <c r="M625" s="63"/>
      <c r="N625" s="63"/>
      <c r="O625" s="63"/>
      <c r="P625" s="63"/>
      <c r="Q625" s="63"/>
      <c r="R625" s="63"/>
      <c r="S625" s="251">
        <v>3</v>
      </c>
      <c r="T625" s="247">
        <f>SUM(H625,J625,L625,N625,P625,R625,S625)</f>
        <v>6</v>
      </c>
      <c r="U625" s="93">
        <f t="shared" si="86"/>
        <v>2.9426189308484553E-3</v>
      </c>
      <c r="V625" s="203" t="s">
        <v>12</v>
      </c>
      <c r="W625" s="326"/>
    </row>
    <row r="626" spans="1:23" ht="15.75" x14ac:dyDescent="0.25">
      <c r="A626" s="96"/>
      <c r="B626" s="97"/>
      <c r="C626" s="97"/>
      <c r="D626" s="97"/>
      <c r="E626" s="104"/>
      <c r="F626" s="104"/>
      <c r="G626" s="98"/>
      <c r="H626" s="99"/>
      <c r="I626" s="63">
        <v>4</v>
      </c>
      <c r="J626" s="63">
        <v>1</v>
      </c>
      <c r="K626" s="63"/>
      <c r="L626" s="63"/>
      <c r="M626" s="63"/>
      <c r="N626" s="63"/>
      <c r="O626" s="63"/>
      <c r="P626" s="63"/>
      <c r="Q626" s="63"/>
      <c r="R626" s="63">
        <v>2</v>
      </c>
      <c r="S626" s="251"/>
      <c r="T626" s="247">
        <f t="shared" ref="T626:T630" si="88">SUM(H626,J626,L626,N626,P626,R626,S626)</f>
        <v>3</v>
      </c>
      <c r="U626" s="93">
        <f t="shared" si="86"/>
        <v>1.4713094654242277E-3</v>
      </c>
      <c r="V626" s="204" t="s">
        <v>164</v>
      </c>
      <c r="W626" s="354"/>
    </row>
    <row r="627" spans="1:23" ht="15.75" x14ac:dyDescent="0.25">
      <c r="A627" s="96"/>
      <c r="B627" s="97"/>
      <c r="C627" s="97"/>
      <c r="D627" s="97"/>
      <c r="E627" s="104"/>
      <c r="F627" s="104"/>
      <c r="G627" s="98"/>
      <c r="H627" s="99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251"/>
      <c r="T627" s="247">
        <f t="shared" si="88"/>
        <v>0</v>
      </c>
      <c r="U627" s="93">
        <f t="shared" si="86"/>
        <v>0</v>
      </c>
      <c r="V627" s="204" t="s">
        <v>79</v>
      </c>
      <c r="W627" s="478"/>
    </row>
    <row r="628" spans="1:23" ht="15.75" x14ac:dyDescent="0.25">
      <c r="A628" s="96"/>
      <c r="B628" s="97"/>
      <c r="C628" s="97"/>
      <c r="D628" s="97"/>
      <c r="E628" s="104"/>
      <c r="F628" s="104"/>
      <c r="G628" s="98"/>
      <c r="H628" s="99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251"/>
      <c r="T628" s="247">
        <f t="shared" si="88"/>
        <v>0</v>
      </c>
      <c r="U628" s="93">
        <f t="shared" si="86"/>
        <v>0</v>
      </c>
      <c r="V628" s="204" t="s">
        <v>318</v>
      </c>
      <c r="W628" s="326"/>
    </row>
    <row r="629" spans="1:23" ht="15.75" x14ac:dyDescent="0.25">
      <c r="A629" s="96"/>
      <c r="B629" s="97"/>
      <c r="C629" s="97"/>
      <c r="D629" s="97"/>
      <c r="E629" s="104"/>
      <c r="F629" s="104"/>
      <c r="G629" s="98"/>
      <c r="H629" s="107"/>
      <c r="I629" s="100">
        <v>1</v>
      </c>
      <c r="J629" s="100"/>
      <c r="K629" s="100"/>
      <c r="L629" s="100"/>
      <c r="M629" s="100"/>
      <c r="N629" s="100"/>
      <c r="O629" s="100"/>
      <c r="P629" s="100"/>
      <c r="Q629" s="100"/>
      <c r="R629" s="100"/>
      <c r="S629" s="254"/>
      <c r="T629" s="247">
        <f t="shared" si="88"/>
        <v>0</v>
      </c>
      <c r="U629" s="93">
        <f t="shared" si="86"/>
        <v>0</v>
      </c>
      <c r="V629" s="479" t="s">
        <v>92</v>
      </c>
      <c r="W629" s="326"/>
    </row>
    <row r="630" spans="1:23" ht="16.5" thickBot="1" x14ac:dyDescent="0.3">
      <c r="A630" s="96"/>
      <c r="B630" s="97"/>
      <c r="C630" s="97"/>
      <c r="D630" s="97"/>
      <c r="E630" s="104"/>
      <c r="F630" s="104"/>
      <c r="G630" s="98"/>
      <c r="H630" s="107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>
        <v>1</v>
      </c>
      <c r="S630" s="254"/>
      <c r="T630" s="248">
        <f t="shared" si="88"/>
        <v>1</v>
      </c>
      <c r="U630" s="299">
        <f>($T630)/$D$597</f>
        <v>4.9043648847474255E-4</v>
      </c>
      <c r="V630" s="357" t="s">
        <v>94</v>
      </c>
      <c r="W630" s="326"/>
    </row>
    <row r="631" spans="1:23" ht="16.5" thickBot="1" x14ac:dyDescent="0.3">
      <c r="A631" s="96"/>
      <c r="B631" s="97"/>
      <c r="C631" s="97"/>
      <c r="D631" s="97"/>
      <c r="E631" s="104"/>
      <c r="F631" s="104"/>
      <c r="G631" s="98"/>
      <c r="H631" s="430"/>
      <c r="I631" s="431"/>
      <c r="J631" s="432"/>
      <c r="K631" s="431"/>
      <c r="L631" s="431"/>
      <c r="M631" s="431"/>
      <c r="N631" s="431"/>
      <c r="O631" s="431"/>
      <c r="P631" s="431"/>
      <c r="Q631" s="431"/>
      <c r="R631" s="431"/>
      <c r="S631" s="431"/>
      <c r="T631" s="433"/>
      <c r="U631" s="433"/>
      <c r="V631" s="441" t="s">
        <v>267</v>
      </c>
      <c r="W631" s="354"/>
    </row>
    <row r="632" spans="1:23" ht="15.75" x14ac:dyDescent="0.25">
      <c r="A632" s="96"/>
      <c r="B632" s="97"/>
      <c r="C632" s="97"/>
      <c r="D632" s="97"/>
      <c r="E632" s="104"/>
      <c r="F632" s="104"/>
      <c r="G632" s="109"/>
      <c r="H632" s="90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250"/>
      <c r="T632" s="249">
        <f t="shared" ref="T632:T641" si="89">SUM(H632,J632,L632,N632,P632,R632,S632)</f>
        <v>0</v>
      </c>
      <c r="U632" s="183">
        <f>($T632)/$D$597</f>
        <v>0</v>
      </c>
      <c r="V632" s="202" t="s">
        <v>89</v>
      </c>
      <c r="W632" s="354"/>
    </row>
    <row r="633" spans="1:23" ht="15.75" x14ac:dyDescent="0.25">
      <c r="A633" s="96"/>
      <c r="B633" s="97"/>
      <c r="C633" s="97"/>
      <c r="D633" s="97"/>
      <c r="E633" s="104"/>
      <c r="F633" s="104"/>
      <c r="G633" s="109"/>
      <c r="H633" s="99">
        <v>3</v>
      </c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251"/>
      <c r="T633" s="247">
        <f t="shared" si="89"/>
        <v>3</v>
      </c>
      <c r="U633" s="183">
        <f>($T633)/$D$597</f>
        <v>1.4713094654242277E-3</v>
      </c>
      <c r="V633" s="203" t="s">
        <v>83</v>
      </c>
      <c r="W633" s="126"/>
    </row>
    <row r="634" spans="1:23" x14ac:dyDescent="0.25">
      <c r="A634" s="96"/>
      <c r="B634" s="97"/>
      <c r="C634" s="97"/>
      <c r="D634" s="97"/>
      <c r="E634" s="104"/>
      <c r="F634" s="104"/>
      <c r="G634" s="109"/>
      <c r="H634" s="99">
        <v>3</v>
      </c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251"/>
      <c r="T634" s="247">
        <f t="shared" si="89"/>
        <v>3</v>
      </c>
      <c r="U634" s="183">
        <f t="shared" ref="U634:U640" si="90">($T634)/$D$597</f>
        <v>1.4713094654242277E-3</v>
      </c>
      <c r="V634" s="355" t="s">
        <v>435</v>
      </c>
      <c r="W634" s="326" t="s">
        <v>432</v>
      </c>
    </row>
    <row r="635" spans="1:23" ht="15.75" x14ac:dyDescent="0.25">
      <c r="A635" s="96"/>
      <c r="B635" s="97"/>
      <c r="C635" s="97"/>
      <c r="D635" s="97"/>
      <c r="E635" s="104"/>
      <c r="F635" s="104"/>
      <c r="G635" s="109"/>
      <c r="H635" s="99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251"/>
      <c r="T635" s="247">
        <f t="shared" si="89"/>
        <v>0</v>
      </c>
      <c r="U635" s="183">
        <f t="shared" si="90"/>
        <v>0</v>
      </c>
      <c r="V635" s="203" t="s">
        <v>12</v>
      </c>
      <c r="W635" s="354" t="s">
        <v>433</v>
      </c>
    </row>
    <row r="636" spans="1:23" ht="15.75" x14ac:dyDescent="0.25">
      <c r="A636" s="96"/>
      <c r="B636" s="97"/>
      <c r="C636" s="97"/>
      <c r="D636" s="97"/>
      <c r="E636" s="104"/>
      <c r="F636" s="104"/>
      <c r="G636" s="109"/>
      <c r="H636" s="99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251"/>
      <c r="T636" s="247">
        <f t="shared" si="89"/>
        <v>0</v>
      </c>
      <c r="U636" s="183">
        <f t="shared" si="90"/>
        <v>0</v>
      </c>
      <c r="V636" s="204" t="s">
        <v>85</v>
      </c>
      <c r="W636" s="126" t="s">
        <v>436</v>
      </c>
    </row>
    <row r="637" spans="1:23" ht="15.75" x14ac:dyDescent="0.25">
      <c r="A637" s="96"/>
      <c r="B637" s="97"/>
      <c r="C637" s="97"/>
      <c r="D637" s="97"/>
      <c r="E637" s="104"/>
      <c r="F637" s="104"/>
      <c r="G637" s="109"/>
      <c r="H637" s="99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251"/>
      <c r="T637" s="247">
        <f t="shared" si="89"/>
        <v>0</v>
      </c>
      <c r="U637" s="183">
        <f t="shared" si="90"/>
        <v>0</v>
      </c>
      <c r="V637" s="204" t="s">
        <v>26</v>
      </c>
      <c r="W637" s="126" t="s">
        <v>437</v>
      </c>
    </row>
    <row r="638" spans="1:23" ht="15.75" x14ac:dyDescent="0.25">
      <c r="A638" s="96"/>
      <c r="B638" s="97"/>
      <c r="C638" s="97"/>
      <c r="D638" s="97"/>
      <c r="E638" s="104"/>
      <c r="F638" s="104"/>
      <c r="G638" s="109"/>
      <c r="H638" s="107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254"/>
      <c r="T638" s="247">
        <f t="shared" si="89"/>
        <v>0</v>
      </c>
      <c r="U638" s="183">
        <f t="shared" si="90"/>
        <v>0</v>
      </c>
      <c r="V638" s="207" t="s">
        <v>35</v>
      </c>
      <c r="W638" s="326" t="s">
        <v>314</v>
      </c>
    </row>
    <row r="639" spans="1:23" ht="15.75" x14ac:dyDescent="0.25">
      <c r="A639" s="96"/>
      <c r="B639" s="97"/>
      <c r="C639" s="97"/>
      <c r="D639" s="97"/>
      <c r="E639" s="104"/>
      <c r="F639" s="104"/>
      <c r="G639" s="109"/>
      <c r="H639" s="107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254"/>
      <c r="T639" s="247">
        <f t="shared" si="89"/>
        <v>0</v>
      </c>
      <c r="U639" s="183">
        <f t="shared" si="90"/>
        <v>0</v>
      </c>
      <c r="V639" s="203" t="s">
        <v>148</v>
      </c>
      <c r="W639" s="326" t="s">
        <v>439</v>
      </c>
    </row>
    <row r="640" spans="1:23" ht="15.75" x14ac:dyDescent="0.25">
      <c r="A640" s="96"/>
      <c r="B640" s="97"/>
      <c r="C640" s="97"/>
      <c r="D640" s="97"/>
      <c r="E640" s="104"/>
      <c r="F640" s="104"/>
      <c r="G640" s="109"/>
      <c r="H640" s="107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254"/>
      <c r="T640" s="247">
        <f t="shared" si="89"/>
        <v>0</v>
      </c>
      <c r="U640" s="183">
        <f t="shared" si="90"/>
        <v>0</v>
      </c>
      <c r="V640" s="203" t="s">
        <v>82</v>
      </c>
      <c r="W640" s="326"/>
    </row>
    <row r="641" spans="1:23" ht="16.5" thickBot="1" x14ac:dyDescent="0.3">
      <c r="A641" s="117"/>
      <c r="B641" s="118"/>
      <c r="C641" s="118"/>
      <c r="D641" s="118"/>
      <c r="E641" s="119"/>
      <c r="F641" s="119"/>
      <c r="G641" s="120"/>
      <c r="H641" s="107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254"/>
      <c r="T641" s="247">
        <f t="shared" si="89"/>
        <v>0</v>
      </c>
      <c r="U641" s="299">
        <f>($T641)/$D$597</f>
        <v>0</v>
      </c>
      <c r="V641" s="205" t="s">
        <v>71</v>
      </c>
      <c r="W641" s="352"/>
    </row>
    <row r="642" spans="1:23" ht="15.75" thickBot="1" x14ac:dyDescent="0.3">
      <c r="A642" s="122"/>
      <c r="B642" s="122"/>
      <c r="C642" s="122"/>
      <c r="D642" s="122"/>
      <c r="E642" s="122"/>
      <c r="F642" s="122"/>
      <c r="G642" s="47" t="s">
        <v>4</v>
      </c>
      <c r="H642" s="123">
        <f>SUM(H598:H641)</f>
        <v>119</v>
      </c>
      <c r="I642" s="123">
        <f t="shared" ref="I642:S642" si="91">SUM(I598:I641)</f>
        <v>52</v>
      </c>
      <c r="J642" s="123">
        <f t="shared" si="91"/>
        <v>28</v>
      </c>
      <c r="K642" s="123">
        <f t="shared" si="91"/>
        <v>0</v>
      </c>
      <c r="L642" s="123">
        <f t="shared" si="91"/>
        <v>0</v>
      </c>
      <c r="M642" s="123">
        <f t="shared" si="91"/>
        <v>0</v>
      </c>
      <c r="N642" s="123">
        <f t="shared" si="91"/>
        <v>0</v>
      </c>
      <c r="O642" s="123">
        <f t="shared" si="91"/>
        <v>0</v>
      </c>
      <c r="P642" s="123">
        <f t="shared" si="91"/>
        <v>0</v>
      </c>
      <c r="Q642" s="123">
        <f t="shared" si="91"/>
        <v>0</v>
      </c>
      <c r="R642" s="123">
        <f t="shared" si="91"/>
        <v>4</v>
      </c>
      <c r="S642" s="123">
        <f t="shared" si="91"/>
        <v>38</v>
      </c>
      <c r="T642" s="198">
        <f>SUM(H642,J642,L642,N642,P642,R642,S642)</f>
        <v>189</v>
      </c>
      <c r="U642" s="333">
        <f>($T642)/$D$597</f>
        <v>9.2692496321726339E-2</v>
      </c>
      <c r="V642" s="40"/>
    </row>
  </sheetData>
  <conditionalFormatting sqref="U43:U44 U87:U88">
    <cfRule type="cellIs" dxfId="158" priority="3592" operator="greaterThan">
      <formula>0.2</formula>
    </cfRule>
  </conditionalFormatting>
  <conditionalFormatting sqref="U3:U31">
    <cfRule type="colorScale" priority="247">
      <colorScale>
        <cfvo type="min"/>
        <cfvo type="max"/>
        <color rgb="FFFCFCFF"/>
        <color rgb="FFF8696B"/>
      </colorScale>
    </cfRule>
  </conditionalFormatting>
  <conditionalFormatting sqref="U47:U75">
    <cfRule type="colorScale" priority="175">
      <colorScale>
        <cfvo type="min"/>
        <cfvo type="max"/>
        <color rgb="FFFCFCFF"/>
        <color rgb="FFF8696B"/>
      </colorScale>
    </cfRule>
  </conditionalFormatting>
  <conditionalFormatting sqref="U91:U119">
    <cfRule type="colorScale" priority="171">
      <colorScale>
        <cfvo type="min"/>
        <cfvo type="max"/>
        <color rgb="FFFCFCFF"/>
        <color rgb="FFF8696B"/>
      </colorScale>
    </cfRule>
  </conditionalFormatting>
  <conditionalFormatting sqref="U3:U31">
    <cfRule type="cellIs" dxfId="157" priority="101" operator="greaterThan">
      <formula>0.2</formula>
    </cfRule>
  </conditionalFormatting>
  <conditionalFormatting sqref="U1:U2">
    <cfRule type="cellIs" dxfId="156" priority="100" operator="greaterThan">
      <formula>0.2</formula>
    </cfRule>
  </conditionalFormatting>
  <conditionalFormatting sqref="U33:U42">
    <cfRule type="cellIs" dxfId="155" priority="98" operator="greaterThan">
      <formula>0.2</formula>
    </cfRule>
  </conditionalFormatting>
  <conditionalFormatting sqref="U33:U42">
    <cfRule type="colorScale" priority="99">
      <colorScale>
        <cfvo type="min"/>
        <cfvo type="max"/>
        <color rgb="FFFCFCFF"/>
        <color rgb="FFF8696B"/>
      </colorScale>
    </cfRule>
  </conditionalFormatting>
  <conditionalFormatting sqref="U47:U75">
    <cfRule type="cellIs" dxfId="154" priority="97" operator="greaterThan">
      <formula>0.2</formula>
    </cfRule>
  </conditionalFormatting>
  <conditionalFormatting sqref="U45:U46">
    <cfRule type="cellIs" dxfId="153" priority="96" operator="greaterThan">
      <formula>0.2</formula>
    </cfRule>
  </conditionalFormatting>
  <conditionalFormatting sqref="U77:U86">
    <cfRule type="cellIs" dxfId="152" priority="94" operator="greaterThan">
      <formula>0.2</formula>
    </cfRule>
  </conditionalFormatting>
  <conditionalFormatting sqref="U77:U86">
    <cfRule type="colorScale" priority="95">
      <colorScale>
        <cfvo type="min"/>
        <cfvo type="max"/>
        <color rgb="FFFCFCFF"/>
        <color rgb="FFF8696B"/>
      </colorScale>
    </cfRule>
  </conditionalFormatting>
  <conditionalFormatting sqref="U91:U119">
    <cfRule type="cellIs" dxfId="151" priority="93" operator="greaterThan">
      <formula>0.2</formula>
    </cfRule>
  </conditionalFormatting>
  <conditionalFormatting sqref="U89:U90">
    <cfRule type="cellIs" dxfId="150" priority="92" operator="greaterThan">
      <formula>0.2</formula>
    </cfRule>
  </conditionalFormatting>
  <conditionalFormatting sqref="U121:U130">
    <cfRule type="cellIs" dxfId="149" priority="90" operator="greaterThan">
      <formula>0.2</formula>
    </cfRule>
  </conditionalFormatting>
  <conditionalFormatting sqref="U121:U130">
    <cfRule type="colorScale" priority="91">
      <colorScale>
        <cfvo type="min"/>
        <cfvo type="max"/>
        <color rgb="FFFCFCFF"/>
        <color rgb="FFF8696B"/>
      </colorScale>
    </cfRule>
  </conditionalFormatting>
  <conditionalFormatting sqref="U135:U163">
    <cfRule type="colorScale" priority="89">
      <colorScale>
        <cfvo type="min"/>
        <cfvo type="max"/>
        <color rgb="FFFCFCFF"/>
        <color rgb="FFF8696B"/>
      </colorScale>
    </cfRule>
  </conditionalFormatting>
  <conditionalFormatting sqref="U135:U163">
    <cfRule type="cellIs" dxfId="148" priority="88" operator="greaterThan">
      <formula>0.2</formula>
    </cfRule>
  </conditionalFormatting>
  <conditionalFormatting sqref="U133:U134">
    <cfRule type="cellIs" dxfId="147" priority="87" operator="greaterThan">
      <formula>0.2</formula>
    </cfRule>
  </conditionalFormatting>
  <conditionalFormatting sqref="U165:U175">
    <cfRule type="cellIs" dxfId="146" priority="85" operator="greaterThan">
      <formula>0.2</formula>
    </cfRule>
  </conditionalFormatting>
  <conditionalFormatting sqref="U165:U175">
    <cfRule type="colorScale" priority="86">
      <colorScale>
        <cfvo type="min"/>
        <cfvo type="max"/>
        <color rgb="FFFCFCFF"/>
        <color rgb="FFF8696B"/>
      </colorScale>
    </cfRule>
  </conditionalFormatting>
  <conditionalFormatting sqref="U180:U208">
    <cfRule type="colorScale" priority="84">
      <colorScale>
        <cfvo type="min"/>
        <cfvo type="max"/>
        <color rgb="FFFCFCFF"/>
        <color rgb="FFF8696B"/>
      </colorScale>
    </cfRule>
  </conditionalFormatting>
  <conditionalFormatting sqref="U180:U208">
    <cfRule type="cellIs" dxfId="145" priority="83" operator="greaterThan">
      <formula>0.2</formula>
    </cfRule>
  </conditionalFormatting>
  <conditionalFormatting sqref="U178:U179">
    <cfRule type="cellIs" dxfId="144" priority="82" operator="greaterThan">
      <formula>0.2</formula>
    </cfRule>
  </conditionalFormatting>
  <conditionalFormatting sqref="U210:U220">
    <cfRule type="cellIs" dxfId="143" priority="80" operator="greaterThan">
      <formula>0.2</formula>
    </cfRule>
  </conditionalFormatting>
  <conditionalFormatting sqref="U210:U220">
    <cfRule type="colorScale" priority="81">
      <colorScale>
        <cfvo type="min"/>
        <cfvo type="max"/>
        <color rgb="FFFCFCFF"/>
        <color rgb="FFF8696B"/>
      </colorScale>
    </cfRule>
  </conditionalFormatting>
  <conditionalFormatting sqref="U225:U253">
    <cfRule type="colorScale" priority="79">
      <colorScale>
        <cfvo type="min"/>
        <cfvo type="max"/>
        <color rgb="FFFCFCFF"/>
        <color rgb="FFF8696B"/>
      </colorScale>
    </cfRule>
  </conditionalFormatting>
  <conditionalFormatting sqref="U225:U253">
    <cfRule type="cellIs" dxfId="142" priority="78" operator="greaterThan">
      <formula>0.2</formula>
    </cfRule>
  </conditionalFormatting>
  <conditionalFormatting sqref="U223:U224">
    <cfRule type="cellIs" dxfId="141" priority="77" operator="greaterThan">
      <formula>0.2</formula>
    </cfRule>
  </conditionalFormatting>
  <conditionalFormatting sqref="U255:U265">
    <cfRule type="cellIs" dxfId="140" priority="75" operator="greaterThan">
      <formula>0.2</formula>
    </cfRule>
  </conditionalFormatting>
  <conditionalFormatting sqref="U255:U265">
    <cfRule type="colorScale" priority="76">
      <colorScale>
        <cfvo type="min"/>
        <cfvo type="max"/>
        <color rgb="FFFCFCFF"/>
        <color rgb="FFF8696B"/>
      </colorScale>
    </cfRule>
  </conditionalFormatting>
  <conditionalFormatting sqref="U270:U298">
    <cfRule type="colorScale" priority="74">
      <colorScale>
        <cfvo type="min"/>
        <cfvo type="max"/>
        <color rgb="FFFCFCFF"/>
        <color rgb="FFF8696B"/>
      </colorScale>
    </cfRule>
  </conditionalFormatting>
  <conditionalFormatting sqref="U270:U298">
    <cfRule type="cellIs" dxfId="139" priority="73" operator="greaterThan">
      <formula>0.2</formula>
    </cfRule>
  </conditionalFormatting>
  <conditionalFormatting sqref="U268:U269">
    <cfRule type="cellIs" dxfId="138" priority="72" operator="greaterThan">
      <formula>0.2</formula>
    </cfRule>
  </conditionalFormatting>
  <conditionalFormatting sqref="U300:U310">
    <cfRule type="cellIs" dxfId="137" priority="70" operator="greaterThan">
      <formula>0.2</formula>
    </cfRule>
  </conditionalFormatting>
  <conditionalFormatting sqref="U300:U310">
    <cfRule type="colorScale" priority="71">
      <colorScale>
        <cfvo type="min"/>
        <cfvo type="max"/>
        <color rgb="FFFCFCFF"/>
        <color rgb="FFF8696B"/>
      </colorScale>
    </cfRule>
  </conditionalFormatting>
  <conditionalFormatting sqref="U315:U343">
    <cfRule type="colorScale" priority="69">
      <colorScale>
        <cfvo type="min"/>
        <cfvo type="max"/>
        <color rgb="FFFCFCFF"/>
        <color rgb="FFF8696B"/>
      </colorScale>
    </cfRule>
  </conditionalFormatting>
  <conditionalFormatting sqref="U315:U343">
    <cfRule type="cellIs" dxfId="136" priority="68" operator="greaterThan">
      <formula>0.2</formula>
    </cfRule>
  </conditionalFormatting>
  <conditionalFormatting sqref="U313:U314">
    <cfRule type="cellIs" dxfId="135" priority="67" operator="greaterThan">
      <formula>0.2</formula>
    </cfRule>
  </conditionalFormatting>
  <conditionalFormatting sqref="U345:U355">
    <cfRule type="cellIs" dxfId="134" priority="65" operator="greaterThan">
      <formula>0.2</formula>
    </cfRule>
  </conditionalFormatting>
  <conditionalFormatting sqref="U345:U355">
    <cfRule type="colorScale" priority="66">
      <colorScale>
        <cfvo type="min"/>
        <cfvo type="max"/>
        <color rgb="FFFCFCFF"/>
        <color rgb="FFF8696B"/>
      </colorScale>
    </cfRule>
  </conditionalFormatting>
  <conditionalFormatting sqref="U360:U388">
    <cfRule type="colorScale" priority="64">
      <colorScale>
        <cfvo type="min"/>
        <cfvo type="max"/>
        <color rgb="FFFCFCFF"/>
        <color rgb="FFF8696B"/>
      </colorScale>
    </cfRule>
  </conditionalFormatting>
  <conditionalFormatting sqref="U360:U388">
    <cfRule type="cellIs" dxfId="133" priority="63" operator="greaterThan">
      <formula>0.2</formula>
    </cfRule>
  </conditionalFormatting>
  <conditionalFormatting sqref="U358:U359">
    <cfRule type="cellIs" dxfId="132" priority="62" operator="greaterThan">
      <formula>0.2</formula>
    </cfRule>
  </conditionalFormatting>
  <conditionalFormatting sqref="U390:U400">
    <cfRule type="cellIs" dxfId="131" priority="60" operator="greaterThan">
      <formula>0.2</formula>
    </cfRule>
  </conditionalFormatting>
  <conditionalFormatting sqref="U390:U400">
    <cfRule type="colorScale" priority="61">
      <colorScale>
        <cfvo type="min"/>
        <cfvo type="max"/>
        <color rgb="FFFCFCFF"/>
        <color rgb="FFF8696B"/>
      </colorScale>
    </cfRule>
  </conditionalFormatting>
  <conditionalFormatting sqref="U405:U434">
    <cfRule type="colorScale" priority="59">
      <colorScale>
        <cfvo type="min"/>
        <cfvo type="max"/>
        <color rgb="FFFCFCFF"/>
        <color rgb="FFF8696B"/>
      </colorScale>
    </cfRule>
  </conditionalFormatting>
  <conditionalFormatting sqref="U405:U434">
    <cfRule type="cellIs" dxfId="130" priority="58" operator="greaterThan">
      <formula>0.2</formula>
    </cfRule>
  </conditionalFormatting>
  <conditionalFormatting sqref="U403:U404">
    <cfRule type="cellIs" dxfId="129" priority="57" operator="greaterThan">
      <formula>0.2</formula>
    </cfRule>
  </conditionalFormatting>
  <conditionalFormatting sqref="U436:U446">
    <cfRule type="cellIs" dxfId="128" priority="55" operator="greaterThan">
      <formula>0.2</formula>
    </cfRule>
  </conditionalFormatting>
  <conditionalFormatting sqref="U436:U446">
    <cfRule type="colorScale" priority="56">
      <colorScale>
        <cfvo type="min"/>
        <cfvo type="max"/>
        <color rgb="FFFCFCFF"/>
        <color rgb="FFF8696B"/>
      </colorScale>
    </cfRule>
  </conditionalFormatting>
  <conditionalFormatting sqref="U451:U483">
    <cfRule type="colorScale" priority="52">
      <colorScale>
        <cfvo type="min"/>
        <cfvo type="max"/>
        <color rgb="FFFCFCFF"/>
        <color rgb="FFF8696B"/>
      </colorScale>
    </cfRule>
  </conditionalFormatting>
  <conditionalFormatting sqref="U451:U483">
    <cfRule type="cellIs" dxfId="126" priority="51" operator="greaterThan">
      <formula>0.2</formula>
    </cfRule>
  </conditionalFormatting>
  <conditionalFormatting sqref="U449:U450">
    <cfRule type="cellIs" dxfId="125" priority="50" operator="greaterThan">
      <formula>0.2</formula>
    </cfRule>
  </conditionalFormatting>
  <conditionalFormatting sqref="U485:U495">
    <cfRule type="cellIs" dxfId="124" priority="48" operator="greaterThan">
      <formula>0.2</formula>
    </cfRule>
  </conditionalFormatting>
  <conditionalFormatting sqref="U485:U495">
    <cfRule type="colorScale" priority="49">
      <colorScale>
        <cfvo type="min"/>
        <cfvo type="max"/>
        <color rgb="FFFCFCFF"/>
        <color rgb="FFF8696B"/>
      </colorScale>
    </cfRule>
  </conditionalFormatting>
  <conditionalFormatting sqref="U500:U532">
    <cfRule type="colorScale" priority="39">
      <colorScale>
        <cfvo type="min"/>
        <cfvo type="max"/>
        <color rgb="FFFCFCFF"/>
        <color rgb="FFF8696B"/>
      </colorScale>
    </cfRule>
  </conditionalFormatting>
  <conditionalFormatting sqref="U500:U532">
    <cfRule type="cellIs" dxfId="119" priority="38" operator="greaterThan">
      <formula>0.2</formula>
    </cfRule>
  </conditionalFormatting>
  <conditionalFormatting sqref="U498:U499">
    <cfRule type="cellIs" dxfId="118" priority="37" operator="greaterThan">
      <formula>0.2</formula>
    </cfRule>
  </conditionalFormatting>
  <conditionalFormatting sqref="U534:U544">
    <cfRule type="cellIs" dxfId="117" priority="35" operator="greaterThan">
      <formula>0.2</formula>
    </cfRule>
  </conditionalFormatting>
  <conditionalFormatting sqref="U534:U544">
    <cfRule type="colorScale" priority="36">
      <colorScale>
        <cfvo type="min"/>
        <cfvo type="max"/>
        <color rgb="FFFCFCFF"/>
        <color rgb="FFF8696B"/>
      </colorScale>
    </cfRule>
  </conditionalFormatting>
  <conditionalFormatting sqref="U549:U581">
    <cfRule type="colorScale" priority="26">
      <colorScale>
        <cfvo type="min"/>
        <cfvo type="max"/>
        <color rgb="FFFCFCFF"/>
        <color rgb="FFF8696B"/>
      </colorScale>
    </cfRule>
  </conditionalFormatting>
  <conditionalFormatting sqref="U549:U581">
    <cfRule type="cellIs" dxfId="112" priority="25" operator="greaterThan">
      <formula>0.2</formula>
    </cfRule>
  </conditionalFormatting>
  <conditionalFormatting sqref="U547:U548">
    <cfRule type="cellIs" dxfId="111" priority="24" operator="greaterThan">
      <formula>0.2</formula>
    </cfRule>
  </conditionalFormatting>
  <conditionalFormatting sqref="U583:U593">
    <cfRule type="cellIs" dxfId="110" priority="22" operator="greaterThan">
      <formula>0.2</formula>
    </cfRule>
  </conditionalFormatting>
  <conditionalFormatting sqref="U583:U593">
    <cfRule type="colorScale" priority="23">
      <colorScale>
        <cfvo type="min"/>
        <cfvo type="max"/>
        <color rgb="FFFCFCFF"/>
        <color rgb="FFF8696B"/>
      </colorScale>
    </cfRule>
  </conditionalFormatting>
  <conditionalFormatting sqref="U598:U630">
    <cfRule type="colorScale" priority="13">
      <colorScale>
        <cfvo type="min"/>
        <cfvo type="max"/>
        <color rgb="FFFCFCFF"/>
        <color rgb="FFF8696B"/>
      </colorScale>
    </cfRule>
  </conditionalFormatting>
  <conditionalFormatting sqref="U598:U630">
    <cfRule type="cellIs" dxfId="105" priority="12" operator="greaterThan">
      <formula>0.2</formula>
    </cfRule>
  </conditionalFormatting>
  <conditionalFormatting sqref="U596:U597">
    <cfRule type="cellIs" dxfId="104" priority="11" operator="greaterThan">
      <formula>0.2</formula>
    </cfRule>
  </conditionalFormatting>
  <conditionalFormatting sqref="U632:U642">
    <cfRule type="cellIs" dxfId="103" priority="9" operator="greaterThan">
      <formula>0.2</formula>
    </cfRule>
  </conditionalFormatting>
  <conditionalFormatting sqref="U632:U642">
    <cfRule type="colorScale" priority="10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1">
    <pageSetUpPr fitToPage="1"/>
  </sheetPr>
  <dimension ref="A1:U36"/>
  <sheetViews>
    <sheetView showGridLines="0" zoomScaleNormal="100" workbookViewId="0">
      <selection activeCell="R5" sqref="R5:R29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31" style="23" bestFit="1" customWidth="1"/>
    <col min="16" max="16" width="10.7109375" style="23" customWidth="1"/>
    <col min="17" max="17" width="10.85546875" style="23" customWidth="1"/>
    <col min="18" max="18" width="10.42578125" style="23" customWidth="1"/>
    <col min="19" max="16384" width="9.140625" style="23"/>
  </cols>
  <sheetData>
    <row r="1" spans="1:21" ht="54" customHeight="1" x14ac:dyDescent="0.25">
      <c r="A1" s="558" t="s">
        <v>99</v>
      </c>
      <c r="B1" s="558"/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  <c r="R1" s="558"/>
    </row>
    <row r="3" spans="1:21" ht="26.25" customHeight="1" x14ac:dyDescent="0.25">
      <c r="O3" s="559" t="s">
        <v>50</v>
      </c>
      <c r="P3" s="560"/>
      <c r="Q3" s="560"/>
      <c r="R3" s="560"/>
    </row>
    <row r="4" spans="1:21" x14ac:dyDescent="0.25">
      <c r="O4" s="561" t="s">
        <v>20</v>
      </c>
      <c r="P4" s="562"/>
      <c r="Q4" s="563"/>
      <c r="R4" s="30" t="s">
        <v>24</v>
      </c>
    </row>
    <row r="5" spans="1:21" x14ac:dyDescent="0.25">
      <c r="O5" s="19" t="s">
        <v>13</v>
      </c>
      <c r="P5" s="20"/>
      <c r="Q5" s="21"/>
      <c r="R5" s="255">
        <f>SUMIF('EB215'!$V$448:$V$593,O5,'EB215'!$T$448:$T$593)</f>
        <v>330</v>
      </c>
    </row>
    <row r="6" spans="1:21" x14ac:dyDescent="0.25">
      <c r="O6" s="19" t="s">
        <v>30</v>
      </c>
      <c r="P6" s="20"/>
      <c r="Q6" s="21"/>
      <c r="R6" s="255">
        <f>SUMIF('EB215'!$V$448:$V$593,O6,'EB215'!$T$448:$T$593)</f>
        <v>88</v>
      </c>
    </row>
    <row r="7" spans="1:21" x14ac:dyDescent="0.25">
      <c r="O7" s="19" t="s">
        <v>33</v>
      </c>
      <c r="P7" s="20"/>
      <c r="Q7" s="21"/>
      <c r="R7" s="255">
        <f>SUMIF('EB215'!$V$448:$V$593,O7,'EB215'!$T$448:$T$593)</f>
        <v>71</v>
      </c>
    </row>
    <row r="8" spans="1:21" x14ac:dyDescent="0.25">
      <c r="O8" s="19" t="s">
        <v>5</v>
      </c>
      <c r="P8" s="20"/>
      <c r="Q8" s="21"/>
      <c r="R8" s="255">
        <f>SUMIF('EB215'!$V$448:$V$593,O8,'EB215'!$T$448:$T$593)</f>
        <v>58</v>
      </c>
    </row>
    <row r="9" spans="1:21" x14ac:dyDescent="0.25">
      <c r="O9" s="19" t="s">
        <v>11</v>
      </c>
      <c r="P9" s="20"/>
      <c r="Q9" s="21"/>
      <c r="R9" s="255">
        <f>SUMIF('EB215'!$V$448:$V$593,O9,'EB215'!$T$448:$T$593)</f>
        <v>44</v>
      </c>
    </row>
    <row r="10" spans="1:21" ht="15.75" x14ac:dyDescent="0.25">
      <c r="O10" s="19" t="s">
        <v>15</v>
      </c>
      <c r="P10" s="20"/>
      <c r="Q10" s="21"/>
      <c r="R10" s="255">
        <f>SUMIF('EB215'!$V$448:$V$593,O10,'EB215'!$T$448:$T$593)</f>
        <v>32</v>
      </c>
      <c r="U10" s="125"/>
    </row>
    <row r="11" spans="1:21" x14ac:dyDescent="0.25">
      <c r="O11" s="19" t="s">
        <v>8</v>
      </c>
      <c r="P11" s="20"/>
      <c r="Q11" s="21"/>
      <c r="R11" s="255">
        <f>SUMIF('EB215'!$V$448:$V$593,O11,'EB215'!$T$448:$T$593)</f>
        <v>24</v>
      </c>
    </row>
    <row r="12" spans="1:21" x14ac:dyDescent="0.25">
      <c r="O12" s="19" t="s">
        <v>43</v>
      </c>
      <c r="P12" s="20"/>
      <c r="Q12" s="21"/>
      <c r="R12" s="255">
        <f>SUMIF('EB215'!$V$448:$V$593,O12,'EB215'!$T$448:$T$593)</f>
        <v>19</v>
      </c>
    </row>
    <row r="13" spans="1:21" x14ac:dyDescent="0.25">
      <c r="O13" s="19" t="s">
        <v>0</v>
      </c>
      <c r="P13" s="20"/>
      <c r="Q13" s="21"/>
      <c r="R13" s="255">
        <f>SUMIF('EB215'!$V$448:$V$593,O13,'EB215'!$T$448:$T$593)</f>
        <v>15</v>
      </c>
    </row>
    <row r="14" spans="1:21" x14ac:dyDescent="0.25">
      <c r="O14" s="19" t="s">
        <v>3</v>
      </c>
      <c r="P14" s="20"/>
      <c r="Q14" s="21"/>
      <c r="R14" s="255">
        <f>SUMIF('EB215'!$V$448:$V$593,O14,'EB215'!$T$448:$T$593)</f>
        <v>16</v>
      </c>
    </row>
    <row r="15" spans="1:21" x14ac:dyDescent="0.25">
      <c r="O15" s="19" t="s">
        <v>14</v>
      </c>
      <c r="P15" s="20"/>
      <c r="Q15" s="21"/>
      <c r="R15" s="255">
        <f>SUMIF('EB215'!$V$448:$V$593,O15,'EB215'!$T$448:$T$593)</f>
        <v>10</v>
      </c>
    </row>
    <row r="16" spans="1:21" x14ac:dyDescent="0.25">
      <c r="O16" s="19" t="s">
        <v>7</v>
      </c>
      <c r="P16" s="20"/>
      <c r="Q16" s="21"/>
      <c r="R16" s="255">
        <f>SUMIF('EB215'!$V$448:$V$593,O16,'EB215'!$T$448:$T$593)</f>
        <v>5</v>
      </c>
    </row>
    <row r="17" spans="1:18" x14ac:dyDescent="0.25">
      <c r="O17" s="19" t="s">
        <v>12</v>
      </c>
      <c r="P17" s="20"/>
      <c r="Q17" s="21"/>
      <c r="R17" s="255">
        <f>SUMIF('EB215'!$V$448:$V$593,O17,'EB215'!$T$448:$T$593)</f>
        <v>5</v>
      </c>
    </row>
    <row r="18" spans="1:18" x14ac:dyDescent="0.25">
      <c r="O18" s="19" t="s">
        <v>35</v>
      </c>
      <c r="P18" s="20"/>
      <c r="Q18" s="21"/>
      <c r="R18" s="255">
        <f>SUMIF('EB215'!$V$448:$V$593,O18,'EB215'!$T$448:$T$593)</f>
        <v>2</v>
      </c>
    </row>
    <row r="19" spans="1:18" x14ac:dyDescent="0.25">
      <c r="O19" s="19" t="s">
        <v>19</v>
      </c>
      <c r="P19" s="20"/>
      <c r="Q19" s="21"/>
      <c r="R19" s="255">
        <f>SUMIF('EB215'!$V$448:$V$593,O19,'EB215'!$T$448:$T$593)</f>
        <v>2</v>
      </c>
    </row>
    <row r="20" spans="1:18" ht="15.75" customHeight="1" x14ac:dyDescent="0.25">
      <c r="O20" s="19" t="s">
        <v>10</v>
      </c>
      <c r="P20" s="20"/>
      <c r="Q20" s="21"/>
      <c r="R20" s="255">
        <f>SUMIF('EB215'!$V$448:$V$593,O20,'EB215'!$T$448:$T$593)</f>
        <v>0</v>
      </c>
    </row>
    <row r="21" spans="1:18" ht="23.25" x14ac:dyDescent="0.25">
      <c r="A21" s="567" t="s">
        <v>62</v>
      </c>
      <c r="B21" s="568"/>
      <c r="C21" s="568"/>
      <c r="D21" s="568"/>
      <c r="E21" s="569"/>
      <c r="O21" s="19" t="s">
        <v>45</v>
      </c>
      <c r="P21" s="20"/>
      <c r="Q21" s="21"/>
      <c r="R21" s="255">
        <f>SUMIF('EB215'!$V$448:$V$593,O21,'EB215'!$T$448:$T$593)</f>
        <v>0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29" t="s">
        <v>23</v>
      </c>
      <c r="O22" s="19" t="s">
        <v>31</v>
      </c>
      <c r="P22" s="20"/>
      <c r="Q22" s="21"/>
      <c r="R22" s="255">
        <f>SUMIF('EB215'!$V$448:$V$593,O22,'EB215'!$T$448:$T$593)</f>
        <v>0</v>
      </c>
    </row>
    <row r="23" spans="1:18" x14ac:dyDescent="0.25">
      <c r="A23" s="301">
        <v>1512004</v>
      </c>
      <c r="B23" s="130">
        <f>VLOOKUP(Table1411[[#This Row],[Shop Order]],'EB215'!A:Y,4,FALSE)</f>
        <v>2170</v>
      </c>
      <c r="C23" s="130">
        <f>VLOOKUP(Table1411[[#This Row],[Shop Order]],'EB215'!A:Y,5,FALSE)</f>
        <v>1854</v>
      </c>
      <c r="D23" s="131">
        <f>VLOOKUP(Table1411[[#This Row],[Shop Order]],'EB215'!A:Y,6,FALSE)</f>
        <v>0.85437788018433181</v>
      </c>
      <c r="E23" s="132">
        <f>VLOOKUP(Table1411[[#This Row],[Shop Order]],'EB215'!A:Y,7,FALSE)</f>
        <v>45320</v>
      </c>
      <c r="O23" s="19" t="s">
        <v>28</v>
      </c>
      <c r="P23" s="20"/>
      <c r="Q23" s="21"/>
      <c r="R23" s="255">
        <f>SUMIF('EB215'!$V$448:$V$593,O23,'EB215'!$T$448:$T$593)</f>
        <v>0</v>
      </c>
    </row>
    <row r="24" spans="1:18" x14ac:dyDescent="0.25">
      <c r="A24" s="301">
        <v>1514313</v>
      </c>
      <c r="B24" s="130">
        <f>VLOOKUP(Table1411[[#This Row],[Shop Order]],'EB215'!A:Y,4,FALSE)</f>
        <v>2105</v>
      </c>
      <c r="C24" s="130">
        <f>VLOOKUP(Table1411[[#This Row],[Shop Order]],'EB215'!A:Y,5,FALSE)</f>
        <v>1853</v>
      </c>
      <c r="D24" s="131">
        <f>VLOOKUP(Table1411[[#This Row],[Shop Order]],'EB215'!A:Y,6,FALSE)</f>
        <v>0.8802850356294537</v>
      </c>
      <c r="E24" s="132">
        <f>VLOOKUP(Table1411[[#This Row],[Shop Order]],'EB215'!A:Y,7,FALSE)</f>
        <v>45324</v>
      </c>
      <c r="G24" s="24"/>
      <c r="O24" s="19" t="s">
        <v>44</v>
      </c>
      <c r="P24" s="20"/>
      <c r="Q24" s="21"/>
      <c r="R24" s="255">
        <f>SUMIF('EB215'!$V$448:$V$593,O24,'EB215'!$T$448:$T$593)</f>
        <v>0</v>
      </c>
    </row>
    <row r="25" spans="1:18" x14ac:dyDescent="0.25">
      <c r="A25" s="301">
        <v>1514188</v>
      </c>
      <c r="B25" s="130">
        <f>VLOOKUP(Table1411[[#This Row],[Shop Order]],'EB215'!A:Y,4,FALSE)</f>
        <v>2144</v>
      </c>
      <c r="C25" s="130">
        <f>VLOOKUP(Table1411[[#This Row],[Shop Order]],'EB215'!A:Y,5,FALSE)</f>
        <v>1854</v>
      </c>
      <c r="D25" s="131">
        <f>VLOOKUP(Table1411[[#This Row],[Shop Order]],'EB215'!A:Y,6,FALSE)</f>
        <v>0.86473880597014929</v>
      </c>
      <c r="E25" s="132">
        <f>VLOOKUP(Table1411[[#This Row],[Shop Order]],'EB215'!A:Y,7,FALSE)</f>
        <v>45329</v>
      </c>
      <c r="O25" s="19" t="s">
        <v>113</v>
      </c>
      <c r="P25" s="20"/>
      <c r="Q25" s="21"/>
      <c r="R25" s="255">
        <f>SUMIF('EB215'!$V$448:$V$593,O25,'EB215'!$T$448:$T$593)</f>
        <v>0</v>
      </c>
    </row>
    <row r="26" spans="1:18" x14ac:dyDescent="0.25">
      <c r="A26" s="301">
        <v>1514189</v>
      </c>
      <c r="B26" s="130">
        <f>VLOOKUP(Table1411[[#This Row],[Shop Order]],'EB215'!A:Y,4,FALSE)</f>
        <v>2193</v>
      </c>
      <c r="C26" s="130">
        <f>VLOOKUP(Table1411[[#This Row],[Shop Order]],'EB215'!A:Y,5,FALSE)</f>
        <v>1842</v>
      </c>
      <c r="D26" s="131">
        <f>VLOOKUP(Table1411[[#This Row],[Shop Order]],'EB215'!A:Y,6,FALSE)</f>
        <v>0.83994528043775651</v>
      </c>
      <c r="E26" s="239">
        <f>VLOOKUP(Table1411[[#This Row],[Shop Order]],'EB215'!A:Y,7,FALSE)</f>
        <v>45334</v>
      </c>
      <c r="O26" s="19" t="s">
        <v>32</v>
      </c>
      <c r="P26" s="20"/>
      <c r="Q26" s="21"/>
      <c r="R26" s="255">
        <f>SUMIF('EB215'!$V$448:$V$593,O26,'EB215'!$T$448:$T$593)</f>
        <v>0</v>
      </c>
    </row>
    <row r="27" spans="1:18" x14ac:dyDescent="0.25">
      <c r="A27" s="301">
        <v>1514190</v>
      </c>
      <c r="B27" s="130">
        <f>VLOOKUP(Table1411[[#This Row],[Shop Order]],'EB215'!A:Y,4,FALSE)</f>
        <v>2069</v>
      </c>
      <c r="C27" s="130">
        <f>VLOOKUP(Table1411[[#This Row],[Shop Order]],'EB215'!A:Y,5,FALSE)</f>
        <v>1824</v>
      </c>
      <c r="D27" s="131">
        <f>VLOOKUP(Table1411[[#This Row],[Shop Order]],'EB215'!A:Y,6,FALSE)</f>
        <v>0.88158530691155146</v>
      </c>
      <c r="E27" s="132">
        <f>VLOOKUP(Table1411[[#This Row],[Shop Order]],'EB215'!A:Y,7,FALSE)</f>
        <v>45350</v>
      </c>
      <c r="O27" s="19" t="s">
        <v>102</v>
      </c>
      <c r="P27" s="20"/>
      <c r="Q27" s="21"/>
      <c r="R27" s="255">
        <f>SUMIF('EB215'!$V$448:$V$593,O27,'EB215'!$T$448:$T$593)</f>
        <v>0</v>
      </c>
    </row>
    <row r="28" spans="1:18" x14ac:dyDescent="0.25">
      <c r="A28" s="301">
        <v>1515307</v>
      </c>
      <c r="B28" s="130">
        <f>VLOOKUP(Table1411[[#This Row],[Shop Order]],'EB215'!A:Y,4,FALSE)</f>
        <v>2211</v>
      </c>
      <c r="C28" s="130">
        <f>VLOOKUP(Table1411[[#This Row],[Shop Order]],'EB215'!A:Y,5,FALSE)</f>
        <v>1850</v>
      </c>
      <c r="D28" s="131">
        <f>VLOOKUP(Table1411[[#This Row],[Shop Order]],'EB215'!A:Y,6,FALSE)</f>
        <v>0.8367254635911352</v>
      </c>
      <c r="E28" s="132">
        <f>VLOOKUP(Table1411[[#This Row],[Shop Order]],'EB215'!A:Y,7,FALSE)</f>
        <v>45362</v>
      </c>
      <c r="O28" s="19" t="s">
        <v>42</v>
      </c>
      <c r="P28" s="20"/>
      <c r="Q28" s="21"/>
      <c r="R28" s="255">
        <f>SUMIF('EB215'!$V$448:$V$593,O28,'EB215'!$T$448:$T$593)</f>
        <v>0</v>
      </c>
    </row>
    <row r="29" spans="1:18" x14ac:dyDescent="0.25">
      <c r="A29" s="512">
        <v>1515308</v>
      </c>
      <c r="B29" s="509">
        <f>VLOOKUP(Table1411[[#This Row],[Shop Order]],'EB215'!A:Y,4,FALSE)</f>
        <v>2142</v>
      </c>
      <c r="C29" s="509">
        <f>VLOOKUP(Table1411[[#This Row],[Shop Order]],'EB215'!A:Y,5,FALSE)</f>
        <v>1876</v>
      </c>
      <c r="D29" s="510">
        <f>VLOOKUP(Table1411[[#This Row],[Shop Order]],'EB215'!A:Y,6,FALSE)</f>
        <v>0.87581699346405228</v>
      </c>
      <c r="E29" s="511">
        <f>VLOOKUP(Table1411[[#This Row],[Shop Order]],'EB215'!A:Y,7,FALSE)</f>
        <v>45370</v>
      </c>
      <c r="O29" s="19" t="s">
        <v>36</v>
      </c>
      <c r="P29" s="20"/>
      <c r="Q29" s="21"/>
      <c r="R29" s="255">
        <f>SUMIF('EB215'!$V$448:$V$593,O29,'EB215'!$T$448:$T$593)</f>
        <v>0</v>
      </c>
    </row>
    <row r="30" spans="1:18" ht="15.75" thickBot="1" x14ac:dyDescent="0.3">
      <c r="A30" s="512">
        <v>1517977</v>
      </c>
      <c r="B30" s="509">
        <f>VLOOKUP(Table1411[[#This Row],[Shop Order]],'EB215'!A:Y,4,FALSE)</f>
        <v>2149</v>
      </c>
      <c r="C30" s="509">
        <f>VLOOKUP(Table1411[[#This Row],[Shop Order]],'EB215'!A:Y,5,FALSE)</f>
        <v>1822</v>
      </c>
      <c r="D30" s="510">
        <f>VLOOKUP(Table1411[[#This Row],[Shop Order]],'EB215'!A:Y,6,FALSE)</f>
        <v>0.84783620288506278</v>
      </c>
      <c r="E30" s="511">
        <f>VLOOKUP(Table1411[[#This Row],[Shop Order]],'EB215'!A:Y,7,FALSE)</f>
        <v>45371</v>
      </c>
    </row>
    <row r="31" spans="1:18" ht="15.75" thickBot="1" x14ac:dyDescent="0.3">
      <c r="A31" s="564" t="s">
        <v>49</v>
      </c>
      <c r="B31" s="565"/>
      <c r="C31" s="566"/>
      <c r="D31" s="75">
        <f>AVERAGE(D23:D30)</f>
        <v>0.86016387113418658</v>
      </c>
      <c r="E31" s="26"/>
    </row>
    <row r="34" spans="5:5" x14ac:dyDescent="0.25">
      <c r="E34" s="23"/>
    </row>
    <row r="35" spans="5:5" ht="39.75" customHeight="1" x14ac:dyDescent="0.25">
      <c r="E35" s="23"/>
    </row>
    <row r="36" spans="5:5" ht="58.5" customHeight="1" x14ac:dyDescent="0.25">
      <c r="E36" s="23"/>
    </row>
  </sheetData>
  <autoFilter ref="O4:R4" xr:uid="{00000000-0009-0000-0000-00000B000000}">
    <filterColumn colId="0" showButton="0"/>
    <filterColumn colId="1" showButton="0"/>
    <sortState xmlns:xlrd2="http://schemas.microsoft.com/office/spreadsheetml/2017/richdata2" ref="O5:R29">
      <sortCondition descending="1" ref="R4"/>
    </sortState>
  </autoFilter>
  <dataConsolidate/>
  <mergeCells count="5">
    <mergeCell ref="A1:R1"/>
    <mergeCell ref="A21:E21"/>
    <mergeCell ref="A31:C31"/>
    <mergeCell ref="O4:Q4"/>
    <mergeCell ref="O3:R3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9">
    <pageSetUpPr fitToPage="1"/>
  </sheetPr>
  <dimension ref="A1:AC42"/>
  <sheetViews>
    <sheetView zoomScale="70" zoomScaleNormal="70" zoomScaleSheetLayoutView="90" workbookViewId="0">
      <selection activeCell="D27" sqref="D27:E27"/>
    </sheetView>
  </sheetViews>
  <sheetFormatPr defaultColWidth="9.140625" defaultRowHeight="15" x14ac:dyDescent="0.25"/>
  <cols>
    <col min="1" max="1" width="14.5703125" style="41" bestFit="1" customWidth="1"/>
    <col min="2" max="2" width="12.7109375" style="41" customWidth="1"/>
    <col min="3" max="3" width="7" style="41" customWidth="1"/>
    <col min="4" max="4" width="8.85546875" style="41" customWidth="1"/>
    <col min="5" max="5" width="8.140625" style="41" customWidth="1"/>
    <col min="6" max="6" width="10.5703125" style="41" bestFit="1" customWidth="1"/>
    <col min="7" max="7" width="12.7109375" style="13" bestFit="1" customWidth="1"/>
    <col min="8" max="19" width="16.28515625" style="7" customWidth="1"/>
    <col min="20" max="20" width="7.42578125" style="8" customWidth="1"/>
    <col min="21" max="21" width="9.5703125" style="9" customWidth="1"/>
    <col min="22" max="22" width="40.7109375" style="41" customWidth="1"/>
    <col min="23" max="23" width="50.7109375" style="10" customWidth="1"/>
    <col min="24" max="29" width="9.140625" style="12"/>
    <col min="30" max="16384" width="9.140625" style="41"/>
  </cols>
  <sheetData>
    <row r="1" spans="1:23" ht="75.75" thickBot="1" x14ac:dyDescent="0.3">
      <c r="A1" s="43" t="s">
        <v>22</v>
      </c>
      <c r="B1" s="43" t="s">
        <v>47</v>
      </c>
      <c r="C1" s="43" t="s">
        <v>52</v>
      </c>
      <c r="D1" s="43" t="s">
        <v>17</v>
      </c>
      <c r="E1" s="42" t="s">
        <v>16</v>
      </c>
      <c r="F1" s="44" t="s">
        <v>1</v>
      </c>
      <c r="G1" s="45" t="s">
        <v>23</v>
      </c>
      <c r="H1" s="46" t="s">
        <v>72</v>
      </c>
      <c r="I1" s="46" t="s">
        <v>73</v>
      </c>
      <c r="J1" s="46" t="s">
        <v>53</v>
      </c>
      <c r="K1" s="46" t="s">
        <v>58</v>
      </c>
      <c r="L1" s="46" t="s">
        <v>54</v>
      </c>
      <c r="M1" s="46" t="s">
        <v>59</v>
      </c>
      <c r="N1" s="46" t="s">
        <v>55</v>
      </c>
      <c r="O1" s="46" t="s">
        <v>60</v>
      </c>
      <c r="P1" s="46" t="s">
        <v>56</v>
      </c>
      <c r="Q1" s="46" t="s">
        <v>74</v>
      </c>
      <c r="R1" s="46" t="s">
        <v>116</v>
      </c>
      <c r="S1" s="43" t="s">
        <v>41</v>
      </c>
      <c r="T1" s="43" t="s">
        <v>4</v>
      </c>
      <c r="U1" s="42" t="s">
        <v>2</v>
      </c>
      <c r="V1" s="80" t="s">
        <v>20</v>
      </c>
      <c r="W1" s="81" t="s">
        <v>6</v>
      </c>
    </row>
    <row r="2" spans="1:23" ht="15.75" thickBot="1" x14ac:dyDescent="0.3">
      <c r="A2" s="319">
        <v>1518279</v>
      </c>
      <c r="B2" s="73" t="s">
        <v>443</v>
      </c>
      <c r="C2" s="317">
        <v>384</v>
      </c>
      <c r="D2" s="317">
        <v>398</v>
      </c>
      <c r="E2" s="320">
        <v>366</v>
      </c>
      <c r="F2" s="318">
        <f>E2/D2</f>
        <v>0.91959798994974873</v>
      </c>
      <c r="G2" s="48">
        <v>45376</v>
      </c>
      <c r="H2" s="82"/>
      <c r="I2" s="83"/>
      <c r="J2" s="83"/>
      <c r="K2" s="83"/>
      <c r="L2" s="83"/>
      <c r="M2" s="83"/>
      <c r="N2" s="83"/>
      <c r="O2" s="83"/>
      <c r="P2" s="83"/>
      <c r="Q2" s="83"/>
      <c r="R2" s="83"/>
      <c r="S2" s="84"/>
      <c r="T2" s="296"/>
      <c r="U2" s="115"/>
      <c r="V2" s="86" t="s">
        <v>75</v>
      </c>
      <c r="W2" s="353" t="s">
        <v>70</v>
      </c>
    </row>
    <row r="3" spans="1:23" x14ac:dyDescent="0.25">
      <c r="A3" s="87"/>
      <c r="B3" s="88"/>
      <c r="C3" s="88"/>
      <c r="D3" s="88"/>
      <c r="E3" s="88"/>
      <c r="F3" s="88"/>
      <c r="G3" s="89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2"/>
      <c r="T3" s="249">
        <f>SUM(H3,J3,L3,N3,P3,R3,S3)</f>
        <v>0</v>
      </c>
      <c r="U3" s="183">
        <f>($T3)/$D$2</f>
        <v>0</v>
      </c>
      <c r="V3" s="94" t="s">
        <v>15</v>
      </c>
      <c r="W3" s="210"/>
    </row>
    <row r="4" spans="1:23" x14ac:dyDescent="0.25">
      <c r="A4" s="96"/>
      <c r="B4" s="97"/>
      <c r="C4" s="97"/>
      <c r="D4" s="97"/>
      <c r="E4" s="97"/>
      <c r="F4" s="97"/>
      <c r="G4" s="98"/>
      <c r="H4" s="348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2"/>
      <c r="T4" s="249">
        <f>SUM(H4,J4,L4,N4,P4,R4,S4)</f>
        <v>0</v>
      </c>
      <c r="U4" s="183">
        <f>($T4)/$D$2</f>
        <v>0</v>
      </c>
      <c r="V4" s="113" t="s">
        <v>43</v>
      </c>
      <c r="W4" s="210"/>
    </row>
    <row r="5" spans="1:23" x14ac:dyDescent="0.25">
      <c r="A5" s="96"/>
      <c r="B5" s="97"/>
      <c r="C5" s="97"/>
      <c r="D5" s="97"/>
      <c r="E5" s="97"/>
      <c r="F5" s="97"/>
      <c r="G5" s="98"/>
      <c r="H5" s="99">
        <v>2</v>
      </c>
      <c r="I5" s="63"/>
      <c r="J5" s="63"/>
      <c r="K5" s="63"/>
      <c r="L5" s="63"/>
      <c r="M5" s="63"/>
      <c r="N5" s="63"/>
      <c r="O5" s="63"/>
      <c r="P5" s="63"/>
      <c r="Q5" s="63"/>
      <c r="R5" s="63"/>
      <c r="S5" s="101"/>
      <c r="T5" s="247">
        <f>SUM(H5,J5,L5,N5,P5,R5,S5)</f>
        <v>2</v>
      </c>
      <c r="U5" s="183">
        <f t="shared" ref="U5:U32" si="0">($T5)/$D$2</f>
        <v>5.0251256281407036E-3</v>
      </c>
      <c r="V5" s="102" t="s">
        <v>5</v>
      </c>
      <c r="W5" s="210"/>
    </row>
    <row r="6" spans="1:23" x14ac:dyDescent="0.25">
      <c r="A6" s="96"/>
      <c r="B6" s="97"/>
      <c r="C6" s="97"/>
      <c r="D6" s="97"/>
      <c r="E6" s="104"/>
      <c r="F6" s="104"/>
      <c r="G6" s="98"/>
      <c r="H6" s="99">
        <v>3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101"/>
      <c r="T6" s="247">
        <f>SUM(H6,J6,L6,N6,P6,R6,S6)</f>
        <v>3</v>
      </c>
      <c r="U6" s="183">
        <f t="shared" si="0"/>
        <v>7.537688442211055E-3</v>
      </c>
      <c r="V6" s="102" t="s">
        <v>13</v>
      </c>
      <c r="W6" s="311"/>
    </row>
    <row r="7" spans="1:23" x14ac:dyDescent="0.25">
      <c r="A7" s="96"/>
      <c r="B7" s="97"/>
      <c r="C7" s="97"/>
      <c r="D7" s="97"/>
      <c r="E7" s="104"/>
      <c r="F7" s="104"/>
      <c r="G7" s="98"/>
      <c r="H7" s="99"/>
      <c r="I7" s="63"/>
      <c r="J7" s="63"/>
      <c r="K7" s="63"/>
      <c r="L7" s="63"/>
      <c r="M7" s="63"/>
      <c r="N7" s="63"/>
      <c r="O7" s="63"/>
      <c r="P7" s="63"/>
      <c r="Q7" s="63"/>
      <c r="R7" s="63"/>
      <c r="S7" s="101"/>
      <c r="T7" s="247">
        <f t="shared" ref="T7:T32" si="1">SUM(H7,J7,L7,N7,P7,R7,S7)</f>
        <v>0</v>
      </c>
      <c r="U7" s="183">
        <f t="shared" si="0"/>
        <v>0</v>
      </c>
      <c r="V7" s="102" t="s">
        <v>14</v>
      </c>
      <c r="W7" s="311"/>
    </row>
    <row r="8" spans="1:23" x14ac:dyDescent="0.25">
      <c r="A8" s="96"/>
      <c r="B8" s="97"/>
      <c r="C8" s="97"/>
      <c r="D8" s="97"/>
      <c r="E8" s="104"/>
      <c r="F8" s="104"/>
      <c r="G8" s="98"/>
      <c r="H8" s="99">
        <v>1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101">
        <v>1</v>
      </c>
      <c r="T8" s="247">
        <f t="shared" si="1"/>
        <v>2</v>
      </c>
      <c r="U8" s="183">
        <f t="shared" si="0"/>
        <v>5.0251256281407036E-3</v>
      </c>
      <c r="V8" s="102" t="s">
        <v>30</v>
      </c>
      <c r="W8" s="105"/>
    </row>
    <row r="9" spans="1:23" x14ac:dyDescent="0.25">
      <c r="A9" s="96"/>
      <c r="B9" s="97"/>
      <c r="C9" s="97"/>
      <c r="D9" s="97"/>
      <c r="E9" s="104"/>
      <c r="F9" s="104"/>
      <c r="G9" s="98"/>
      <c r="H9" s="99">
        <v>1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101"/>
      <c r="T9" s="247">
        <f t="shared" si="1"/>
        <v>1</v>
      </c>
      <c r="U9" s="183">
        <f t="shared" si="0"/>
        <v>2.5125628140703518E-3</v>
      </c>
      <c r="V9" s="102" t="s">
        <v>31</v>
      </c>
      <c r="W9" s="105"/>
    </row>
    <row r="10" spans="1:23" ht="15.75" x14ac:dyDescent="0.25">
      <c r="A10" s="96"/>
      <c r="B10" s="97"/>
      <c r="C10" s="97"/>
      <c r="D10" s="97"/>
      <c r="E10" s="104"/>
      <c r="F10" s="104"/>
      <c r="G10" s="98"/>
      <c r="H10" s="99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101"/>
      <c r="T10" s="247">
        <f t="shared" si="1"/>
        <v>0</v>
      </c>
      <c r="U10" s="183">
        <f t="shared" si="0"/>
        <v>0</v>
      </c>
      <c r="V10" s="203" t="s">
        <v>168</v>
      </c>
      <c r="W10" s="354"/>
    </row>
    <row r="11" spans="1:23" x14ac:dyDescent="0.25">
      <c r="A11" s="96"/>
      <c r="B11" s="97"/>
      <c r="C11" s="97"/>
      <c r="D11" s="97"/>
      <c r="E11" s="104"/>
      <c r="F11" s="104"/>
      <c r="G11" s="98"/>
      <c r="H11" s="99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101"/>
      <c r="T11" s="247">
        <f t="shared" si="1"/>
        <v>0</v>
      </c>
      <c r="U11" s="183">
        <f t="shared" si="0"/>
        <v>0</v>
      </c>
      <c r="V11" s="269" t="s">
        <v>29</v>
      </c>
      <c r="W11" s="105"/>
    </row>
    <row r="12" spans="1:23" x14ac:dyDescent="0.25">
      <c r="A12" s="96"/>
      <c r="B12" s="97"/>
      <c r="C12" s="97"/>
      <c r="D12" s="97"/>
      <c r="E12" s="104"/>
      <c r="F12" s="104"/>
      <c r="G12" s="98"/>
      <c r="H12" s="99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101"/>
      <c r="T12" s="247">
        <f t="shared" si="1"/>
        <v>0</v>
      </c>
      <c r="U12" s="183">
        <f t="shared" si="0"/>
        <v>0</v>
      </c>
      <c r="V12" s="102" t="s">
        <v>0</v>
      </c>
      <c r="W12" s="106"/>
    </row>
    <row r="13" spans="1:23" x14ac:dyDescent="0.25">
      <c r="A13" s="96"/>
      <c r="B13" s="97"/>
      <c r="C13" s="97"/>
      <c r="D13" s="97"/>
      <c r="E13" s="104"/>
      <c r="F13" s="104"/>
      <c r="G13" s="98"/>
      <c r="H13" s="99">
        <v>4</v>
      </c>
      <c r="I13" s="63"/>
      <c r="J13" s="63">
        <v>2</v>
      </c>
      <c r="K13" s="63"/>
      <c r="L13" s="63"/>
      <c r="M13" s="63"/>
      <c r="N13" s="63"/>
      <c r="O13" s="63"/>
      <c r="P13" s="63"/>
      <c r="Q13" s="63"/>
      <c r="R13" s="63"/>
      <c r="S13" s="101"/>
      <c r="T13" s="247">
        <f t="shared" si="1"/>
        <v>6</v>
      </c>
      <c r="U13" s="183">
        <f t="shared" si="0"/>
        <v>1.507537688442211E-2</v>
      </c>
      <c r="V13" s="102" t="s">
        <v>11</v>
      </c>
      <c r="W13" s="106"/>
    </row>
    <row r="14" spans="1:23" x14ac:dyDescent="0.25">
      <c r="A14" s="96"/>
      <c r="B14" s="97"/>
      <c r="C14" s="97"/>
      <c r="D14" s="97"/>
      <c r="E14" s="104"/>
      <c r="F14" s="104"/>
      <c r="G14" s="98"/>
      <c r="H14" s="99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101">
        <v>1</v>
      </c>
      <c r="T14" s="247">
        <f t="shared" si="1"/>
        <v>1</v>
      </c>
      <c r="U14" s="183">
        <f t="shared" si="0"/>
        <v>2.5125628140703518E-3</v>
      </c>
      <c r="V14" s="102" t="s">
        <v>33</v>
      </c>
      <c r="W14" s="106"/>
    </row>
    <row r="15" spans="1:23" x14ac:dyDescent="0.25">
      <c r="A15" s="96"/>
      <c r="B15" s="97"/>
      <c r="C15" s="97"/>
      <c r="D15" s="97"/>
      <c r="E15" s="104"/>
      <c r="F15" s="104"/>
      <c r="G15" s="98"/>
      <c r="H15" s="99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101"/>
      <c r="T15" s="247">
        <f t="shared" si="1"/>
        <v>0</v>
      </c>
      <c r="U15" s="183">
        <f t="shared" si="0"/>
        <v>0</v>
      </c>
      <c r="V15" s="102" t="s">
        <v>164</v>
      </c>
      <c r="W15" s="103"/>
    </row>
    <row r="16" spans="1:23" x14ac:dyDescent="0.25">
      <c r="A16" s="96"/>
      <c r="B16" s="97"/>
      <c r="C16" s="97"/>
      <c r="D16" s="97"/>
      <c r="E16" s="104"/>
      <c r="F16" s="104"/>
      <c r="G16" s="98"/>
      <c r="H16" s="99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101"/>
      <c r="T16" s="247">
        <f t="shared" si="1"/>
        <v>0</v>
      </c>
      <c r="U16" s="183">
        <f t="shared" si="0"/>
        <v>0</v>
      </c>
      <c r="V16" s="188" t="s">
        <v>152</v>
      </c>
      <c r="W16" s="106"/>
    </row>
    <row r="17" spans="1:23" x14ac:dyDescent="0.25">
      <c r="A17" s="96"/>
      <c r="B17" s="97"/>
      <c r="C17" s="97"/>
      <c r="D17" s="97"/>
      <c r="E17" s="104"/>
      <c r="F17" s="104"/>
      <c r="G17" s="109"/>
      <c r="H17" s="110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101"/>
      <c r="T17" s="247">
        <f t="shared" si="1"/>
        <v>0</v>
      </c>
      <c r="U17" s="183">
        <f t="shared" si="0"/>
        <v>0</v>
      </c>
      <c r="V17" s="63" t="s">
        <v>112</v>
      </c>
      <c r="W17" s="106"/>
    </row>
    <row r="18" spans="1:23" x14ac:dyDescent="0.25">
      <c r="A18" s="96"/>
      <c r="B18" s="97"/>
      <c r="C18" s="97"/>
      <c r="D18" s="97"/>
      <c r="E18" s="104"/>
      <c r="F18" s="104"/>
      <c r="G18" s="109"/>
      <c r="H18" s="110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101"/>
      <c r="T18" s="247">
        <f t="shared" si="1"/>
        <v>0</v>
      </c>
      <c r="U18" s="183">
        <f t="shared" si="0"/>
        <v>0</v>
      </c>
      <c r="V18" s="148" t="s">
        <v>156</v>
      </c>
      <c r="W18" s="106"/>
    </row>
    <row r="19" spans="1:23" ht="15.75" thickBot="1" x14ac:dyDescent="0.3">
      <c r="A19" s="96"/>
      <c r="B19" s="97"/>
      <c r="C19" s="97"/>
      <c r="D19" s="97"/>
      <c r="E19" s="104"/>
      <c r="F19" s="104"/>
      <c r="G19" s="109"/>
      <c r="H19" s="186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  <c r="T19" s="248">
        <f t="shared" si="1"/>
        <v>0</v>
      </c>
      <c r="U19" s="245">
        <f t="shared" si="0"/>
        <v>0</v>
      </c>
      <c r="V19" s="187" t="s">
        <v>76</v>
      </c>
      <c r="W19" s="103"/>
    </row>
    <row r="20" spans="1:23" x14ac:dyDescent="0.25">
      <c r="A20" s="96"/>
      <c r="B20" s="97"/>
      <c r="C20" s="97"/>
      <c r="D20" s="97"/>
      <c r="E20" s="104"/>
      <c r="F20" s="104"/>
      <c r="G20" s="98"/>
      <c r="H20" s="184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2"/>
      <c r="T20" s="249">
        <f t="shared" si="1"/>
        <v>0</v>
      </c>
      <c r="U20" s="183">
        <f t="shared" si="0"/>
        <v>0</v>
      </c>
      <c r="V20" s="113" t="s">
        <v>10</v>
      </c>
      <c r="W20" s="106"/>
    </row>
    <row r="21" spans="1:23" x14ac:dyDescent="0.25">
      <c r="A21" s="96"/>
      <c r="B21" s="97"/>
      <c r="C21" s="97"/>
      <c r="D21" s="97"/>
      <c r="E21" s="104"/>
      <c r="F21" s="104"/>
      <c r="G21" s="98"/>
      <c r="H21" s="185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101"/>
      <c r="T21" s="247">
        <f t="shared" si="1"/>
        <v>0</v>
      </c>
      <c r="U21" s="183">
        <f t="shared" si="0"/>
        <v>0</v>
      </c>
      <c r="V21" s="102" t="s">
        <v>28</v>
      </c>
      <c r="W21" s="106"/>
    </row>
    <row r="22" spans="1:23" x14ac:dyDescent="0.25">
      <c r="A22" s="96"/>
      <c r="B22" s="97"/>
      <c r="C22" s="97"/>
      <c r="D22" s="97"/>
      <c r="E22" s="104"/>
      <c r="F22" s="104"/>
      <c r="G22" s="98"/>
      <c r="H22" s="185"/>
      <c r="I22" s="63">
        <v>2</v>
      </c>
      <c r="J22" s="63">
        <v>1</v>
      </c>
      <c r="K22" s="63"/>
      <c r="L22" s="63"/>
      <c r="M22" s="63"/>
      <c r="N22" s="63"/>
      <c r="O22" s="63"/>
      <c r="P22" s="63"/>
      <c r="Q22" s="63"/>
      <c r="R22" s="63"/>
      <c r="S22" s="101">
        <v>3</v>
      </c>
      <c r="T22" s="247">
        <f t="shared" si="1"/>
        <v>4</v>
      </c>
      <c r="U22" s="183">
        <f t="shared" si="0"/>
        <v>1.0050251256281407E-2</v>
      </c>
      <c r="V22" s="102" t="s">
        <v>3</v>
      </c>
      <c r="W22" s="105"/>
    </row>
    <row r="23" spans="1:23" x14ac:dyDescent="0.25">
      <c r="A23" s="96"/>
      <c r="B23" s="97"/>
      <c r="C23" s="97"/>
      <c r="D23" s="97"/>
      <c r="E23" s="104"/>
      <c r="F23" s="104"/>
      <c r="G23" s="98"/>
      <c r="H23" s="185"/>
      <c r="I23" s="63">
        <v>10</v>
      </c>
      <c r="J23" s="63">
        <v>4</v>
      </c>
      <c r="K23" s="63"/>
      <c r="L23" s="63"/>
      <c r="M23" s="63"/>
      <c r="N23" s="63"/>
      <c r="O23" s="63"/>
      <c r="P23" s="63"/>
      <c r="Q23" s="63"/>
      <c r="R23" s="63"/>
      <c r="S23" s="101">
        <v>4</v>
      </c>
      <c r="T23" s="247">
        <f t="shared" si="1"/>
        <v>8</v>
      </c>
      <c r="U23" s="183">
        <f t="shared" si="0"/>
        <v>2.0100502512562814E-2</v>
      </c>
      <c r="V23" s="102" t="s">
        <v>7</v>
      </c>
      <c r="W23" s="106"/>
    </row>
    <row r="24" spans="1:23" x14ac:dyDescent="0.25">
      <c r="A24" s="96"/>
      <c r="B24" s="97"/>
      <c r="C24" s="97"/>
      <c r="D24" s="97"/>
      <c r="E24" s="104"/>
      <c r="F24" s="104"/>
      <c r="G24" s="98"/>
      <c r="H24" s="185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101"/>
      <c r="T24" s="247">
        <f t="shared" si="1"/>
        <v>0</v>
      </c>
      <c r="U24" s="183">
        <f t="shared" si="0"/>
        <v>0</v>
      </c>
      <c r="V24" s="102" t="s">
        <v>8</v>
      </c>
      <c r="W24" s="106"/>
    </row>
    <row r="25" spans="1:23" x14ac:dyDescent="0.25">
      <c r="A25" s="96"/>
      <c r="B25" s="97"/>
      <c r="C25" s="97"/>
      <c r="D25" s="97"/>
      <c r="E25" s="104"/>
      <c r="F25" s="104"/>
      <c r="G25" s="98"/>
      <c r="H25" s="185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101"/>
      <c r="T25" s="247">
        <f t="shared" si="1"/>
        <v>0</v>
      </c>
      <c r="U25" s="183">
        <f t="shared" si="0"/>
        <v>0</v>
      </c>
      <c r="V25" s="102" t="s">
        <v>77</v>
      </c>
      <c r="W25" s="354" t="s">
        <v>446</v>
      </c>
    </row>
    <row r="26" spans="1:23" x14ac:dyDescent="0.25">
      <c r="A26" s="96"/>
      <c r="B26" s="97"/>
      <c r="C26" s="97"/>
      <c r="D26" s="97"/>
      <c r="E26" s="104"/>
      <c r="F26" s="104"/>
      <c r="G26" s="98"/>
      <c r="H26" s="185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101">
        <v>1</v>
      </c>
      <c r="T26" s="247">
        <f t="shared" si="1"/>
        <v>1</v>
      </c>
      <c r="U26" s="183">
        <f t="shared" si="0"/>
        <v>2.5125628140703518E-3</v>
      </c>
      <c r="V26" s="102" t="s">
        <v>19</v>
      </c>
      <c r="W26" s="106"/>
    </row>
    <row r="27" spans="1:23" x14ac:dyDescent="0.25">
      <c r="A27" s="96"/>
      <c r="B27" s="97"/>
      <c r="C27" s="97"/>
      <c r="D27" s="97"/>
      <c r="E27" s="104"/>
      <c r="F27" s="104"/>
      <c r="G27" s="98"/>
      <c r="H27" s="185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101"/>
      <c r="T27" s="247">
        <f t="shared" si="1"/>
        <v>0</v>
      </c>
      <c r="U27" s="183">
        <f t="shared" si="0"/>
        <v>0</v>
      </c>
      <c r="V27" s="102" t="s">
        <v>78</v>
      </c>
      <c r="W27" s="106"/>
    </row>
    <row r="28" spans="1:23" x14ac:dyDescent="0.25">
      <c r="A28" s="96"/>
      <c r="B28" s="97"/>
      <c r="C28" s="97"/>
      <c r="D28" s="97"/>
      <c r="E28" s="104"/>
      <c r="F28" s="104"/>
      <c r="G28" s="98"/>
      <c r="H28" s="185"/>
      <c r="I28" s="63">
        <v>1</v>
      </c>
      <c r="J28" s="63"/>
      <c r="K28" s="63"/>
      <c r="L28" s="63"/>
      <c r="M28" s="63"/>
      <c r="N28" s="63"/>
      <c r="O28" s="63"/>
      <c r="P28" s="63"/>
      <c r="Q28" s="63"/>
      <c r="R28" s="63"/>
      <c r="S28" s="101"/>
      <c r="T28" s="247">
        <f t="shared" si="1"/>
        <v>0</v>
      </c>
      <c r="U28" s="183">
        <f t="shared" si="0"/>
        <v>0</v>
      </c>
      <c r="V28" s="102" t="s">
        <v>92</v>
      </c>
      <c r="W28" s="354"/>
    </row>
    <row r="29" spans="1:23" x14ac:dyDescent="0.25">
      <c r="A29" s="96"/>
      <c r="B29" s="97"/>
      <c r="C29" s="97"/>
      <c r="D29" s="97"/>
      <c r="E29" s="104"/>
      <c r="F29" s="104"/>
      <c r="G29" s="98"/>
      <c r="H29" s="185"/>
      <c r="I29" s="63">
        <v>4</v>
      </c>
      <c r="J29" s="63"/>
      <c r="K29" s="63"/>
      <c r="L29" s="63"/>
      <c r="M29" s="63"/>
      <c r="N29" s="63"/>
      <c r="O29" s="63"/>
      <c r="P29" s="63"/>
      <c r="Q29" s="63"/>
      <c r="R29" s="63"/>
      <c r="S29" s="101"/>
      <c r="T29" s="247">
        <f t="shared" si="1"/>
        <v>0</v>
      </c>
      <c r="U29" s="183">
        <f t="shared" si="0"/>
        <v>0</v>
      </c>
      <c r="V29" s="102" t="s">
        <v>12</v>
      </c>
      <c r="W29" s="354"/>
    </row>
    <row r="30" spans="1:23" x14ac:dyDescent="0.25">
      <c r="A30" s="96"/>
      <c r="B30" s="97"/>
      <c r="C30" s="97"/>
      <c r="D30" s="97"/>
      <c r="E30" s="104"/>
      <c r="F30" s="104"/>
      <c r="G30" s="98"/>
      <c r="H30" s="99"/>
      <c r="I30" s="63">
        <v>4</v>
      </c>
      <c r="J30" s="63"/>
      <c r="K30" s="63"/>
      <c r="L30" s="63"/>
      <c r="M30" s="63"/>
      <c r="N30" s="63"/>
      <c r="O30" s="63"/>
      <c r="P30" s="63"/>
      <c r="Q30" s="63"/>
      <c r="R30" s="63"/>
      <c r="S30" s="101"/>
      <c r="T30" s="247">
        <f t="shared" si="1"/>
        <v>0</v>
      </c>
      <c r="U30" s="183">
        <f t="shared" si="0"/>
        <v>0</v>
      </c>
      <c r="V30" s="102" t="s">
        <v>80</v>
      </c>
      <c r="W30" s="354"/>
    </row>
    <row r="31" spans="1:23" x14ac:dyDescent="0.25">
      <c r="A31" s="96"/>
      <c r="B31" s="97"/>
      <c r="C31" s="97"/>
      <c r="D31" s="97"/>
      <c r="E31" s="104"/>
      <c r="F31" s="104"/>
      <c r="G31" s="98"/>
      <c r="H31" s="99"/>
      <c r="I31" s="63">
        <v>1</v>
      </c>
      <c r="J31" s="63"/>
      <c r="K31" s="63"/>
      <c r="L31" s="63"/>
      <c r="M31" s="63"/>
      <c r="N31" s="63"/>
      <c r="O31" s="63"/>
      <c r="P31" s="63"/>
      <c r="Q31" s="63"/>
      <c r="R31" s="63"/>
      <c r="S31" s="101"/>
      <c r="T31" s="247">
        <f t="shared" si="1"/>
        <v>0</v>
      </c>
      <c r="U31" s="183">
        <f t="shared" si="0"/>
        <v>0</v>
      </c>
      <c r="V31" s="102" t="s">
        <v>9</v>
      </c>
      <c r="W31" s="326"/>
    </row>
    <row r="32" spans="1:23" ht="15.75" thickBot="1" x14ac:dyDescent="0.3">
      <c r="A32" s="96"/>
      <c r="B32" s="97"/>
      <c r="C32" s="97"/>
      <c r="D32" s="97"/>
      <c r="E32" s="104"/>
      <c r="F32" s="104"/>
      <c r="G32" s="98"/>
      <c r="H32" s="107"/>
      <c r="I32" s="100">
        <v>2</v>
      </c>
      <c r="J32" s="100"/>
      <c r="K32" s="100"/>
      <c r="L32" s="100"/>
      <c r="M32" s="100"/>
      <c r="N32" s="100"/>
      <c r="O32" s="100"/>
      <c r="P32" s="100"/>
      <c r="Q32" s="100"/>
      <c r="R32" s="100"/>
      <c r="S32" s="108"/>
      <c r="T32" s="247">
        <f t="shared" si="1"/>
        <v>0</v>
      </c>
      <c r="U32" s="183">
        <f t="shared" si="0"/>
        <v>0</v>
      </c>
      <c r="V32" s="102" t="s">
        <v>94</v>
      </c>
      <c r="W32" s="354"/>
    </row>
    <row r="33" spans="1:23" ht="15.75" thickBot="1" x14ac:dyDescent="0.3">
      <c r="A33" s="96"/>
      <c r="B33" s="97"/>
      <c r="C33" s="97"/>
      <c r="D33" s="97"/>
      <c r="E33" s="104"/>
      <c r="F33" s="104"/>
      <c r="G33" s="98"/>
      <c r="H33" s="82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4"/>
      <c r="T33" s="246"/>
      <c r="U33" s="246"/>
      <c r="V33" s="116" t="s">
        <v>81</v>
      </c>
      <c r="W33" s="126"/>
    </row>
    <row r="34" spans="1:23" x14ac:dyDescent="0.25">
      <c r="A34" s="96"/>
      <c r="B34" s="97"/>
      <c r="C34" s="97"/>
      <c r="D34" s="97"/>
      <c r="E34" s="104"/>
      <c r="F34" s="104"/>
      <c r="G34" s="109"/>
      <c r="H34" s="90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2"/>
      <c r="T34" s="249">
        <f t="shared" ref="T34:T41" si="2">SUM(H34,J34,L34,N34,P34,R34,S34)</f>
        <v>0</v>
      </c>
      <c r="U34" s="183">
        <f>($T34)/$D$2</f>
        <v>0</v>
      </c>
      <c r="V34" s="94" t="s">
        <v>83</v>
      </c>
      <c r="W34" s="326" t="s">
        <v>221</v>
      </c>
    </row>
    <row r="35" spans="1:23" x14ac:dyDescent="0.25">
      <c r="A35" s="96"/>
      <c r="B35" s="97"/>
      <c r="C35" s="97"/>
      <c r="D35" s="97"/>
      <c r="E35" s="104"/>
      <c r="F35" s="104"/>
      <c r="G35" s="109"/>
      <c r="H35" s="99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101"/>
      <c r="T35" s="247">
        <f t="shared" si="2"/>
        <v>0</v>
      </c>
      <c r="U35" s="183">
        <f t="shared" ref="U35:U41" si="3">($T35)/$D$2</f>
        <v>0</v>
      </c>
      <c r="V35" s="63" t="s">
        <v>158</v>
      </c>
      <c r="W35" s="354" t="s">
        <v>444</v>
      </c>
    </row>
    <row r="36" spans="1:23" x14ac:dyDescent="0.25">
      <c r="A36" s="96"/>
      <c r="B36" s="97"/>
      <c r="C36" s="97"/>
      <c r="D36" s="97"/>
      <c r="E36" s="104"/>
      <c r="F36" s="104"/>
      <c r="G36" s="109"/>
      <c r="H36" s="99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101"/>
      <c r="T36" s="247">
        <f t="shared" si="2"/>
        <v>0</v>
      </c>
      <c r="U36" s="183">
        <f t="shared" si="3"/>
        <v>0</v>
      </c>
      <c r="V36" s="113" t="s">
        <v>71</v>
      </c>
      <c r="W36" s="326" t="s">
        <v>445</v>
      </c>
    </row>
    <row r="37" spans="1:23" x14ac:dyDescent="0.25">
      <c r="A37" s="96"/>
      <c r="B37" s="97"/>
      <c r="C37" s="97"/>
      <c r="D37" s="97"/>
      <c r="E37" s="104"/>
      <c r="F37" s="104"/>
      <c r="G37" s="109"/>
      <c r="H37" s="99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101"/>
      <c r="T37" s="247">
        <f t="shared" si="2"/>
        <v>0</v>
      </c>
      <c r="U37" s="183">
        <f t="shared" si="3"/>
        <v>0</v>
      </c>
      <c r="V37" s="102" t="s">
        <v>173</v>
      </c>
      <c r="W37" s="354"/>
    </row>
    <row r="38" spans="1:23" x14ac:dyDescent="0.25">
      <c r="A38" s="96"/>
      <c r="B38" s="97"/>
      <c r="C38" s="97"/>
      <c r="D38" s="97"/>
      <c r="E38" s="104"/>
      <c r="F38" s="104"/>
      <c r="G38" s="109"/>
      <c r="H38" s="99">
        <v>1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101"/>
      <c r="T38" s="247">
        <f t="shared" si="2"/>
        <v>1</v>
      </c>
      <c r="U38" s="183">
        <f t="shared" si="3"/>
        <v>2.5125628140703518E-3</v>
      </c>
      <c r="V38" s="102" t="s">
        <v>12</v>
      </c>
      <c r="W38" s="354"/>
    </row>
    <row r="39" spans="1:23" x14ac:dyDescent="0.25">
      <c r="A39" s="96"/>
      <c r="B39" s="97"/>
      <c r="C39" s="97"/>
      <c r="D39" s="97"/>
      <c r="E39" s="104"/>
      <c r="F39" s="104"/>
      <c r="G39" s="109"/>
      <c r="H39" s="99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101"/>
      <c r="T39" s="247">
        <f t="shared" si="2"/>
        <v>0</v>
      </c>
      <c r="U39" s="183">
        <f t="shared" si="3"/>
        <v>0</v>
      </c>
      <c r="V39" s="102" t="s">
        <v>171</v>
      </c>
      <c r="W39" s="354"/>
    </row>
    <row r="40" spans="1:23" x14ac:dyDescent="0.25">
      <c r="A40" s="96"/>
      <c r="B40" s="97"/>
      <c r="C40" s="97"/>
      <c r="D40" s="97"/>
      <c r="E40" s="104"/>
      <c r="F40" s="104"/>
      <c r="G40" s="109"/>
      <c r="H40" s="107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8"/>
      <c r="T40" s="247">
        <f t="shared" si="2"/>
        <v>0</v>
      </c>
      <c r="U40" s="183">
        <f t="shared" si="3"/>
        <v>0</v>
      </c>
      <c r="V40" s="114" t="s">
        <v>15</v>
      </c>
      <c r="W40" s="354"/>
    </row>
    <row r="41" spans="1:23" ht="15.75" thickBot="1" x14ac:dyDescent="0.3">
      <c r="A41" s="117"/>
      <c r="B41" s="118"/>
      <c r="C41" s="118"/>
      <c r="D41" s="118"/>
      <c r="E41" s="119"/>
      <c r="F41" s="119"/>
      <c r="G41" s="120"/>
      <c r="H41" s="107">
        <v>2</v>
      </c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8"/>
      <c r="T41" s="247">
        <f t="shared" si="2"/>
        <v>2</v>
      </c>
      <c r="U41" s="299">
        <f t="shared" si="3"/>
        <v>5.0251256281407036E-3</v>
      </c>
      <c r="V41" s="121" t="s">
        <v>148</v>
      </c>
      <c r="W41" s="215"/>
    </row>
    <row r="42" spans="1:23" ht="15.75" thickBot="1" x14ac:dyDescent="0.3">
      <c r="A42" s="122"/>
      <c r="B42" s="122"/>
      <c r="C42" s="122"/>
      <c r="D42" s="122"/>
      <c r="E42" s="122"/>
      <c r="F42" s="122"/>
      <c r="G42" s="47" t="s">
        <v>4</v>
      </c>
      <c r="H42" s="123">
        <f>SUM(H3:H41)</f>
        <v>14</v>
      </c>
      <c r="I42" s="123">
        <f t="shared" ref="I42:R42" si="4">SUM(I3:I41)</f>
        <v>24</v>
      </c>
      <c r="J42" s="123">
        <f t="shared" si="4"/>
        <v>7</v>
      </c>
      <c r="K42" s="123">
        <f t="shared" si="4"/>
        <v>0</v>
      </c>
      <c r="L42" s="123">
        <f t="shared" si="4"/>
        <v>0</v>
      </c>
      <c r="M42" s="123">
        <f t="shared" si="4"/>
        <v>0</v>
      </c>
      <c r="N42" s="123">
        <f t="shared" si="4"/>
        <v>0</v>
      </c>
      <c r="O42" s="123">
        <f t="shared" si="4"/>
        <v>0</v>
      </c>
      <c r="P42" s="123">
        <f t="shared" si="4"/>
        <v>0</v>
      </c>
      <c r="Q42" s="123">
        <f t="shared" si="4"/>
        <v>0</v>
      </c>
      <c r="R42" s="123">
        <f t="shared" si="4"/>
        <v>0</v>
      </c>
      <c r="S42" s="123">
        <f>SUM(S3:S41)</f>
        <v>10</v>
      </c>
      <c r="T42" s="198">
        <f>SUM(H42,J42,L42,N42,P42,R42,S42)</f>
        <v>31</v>
      </c>
      <c r="U42" s="333">
        <f>($T42)/$D$2</f>
        <v>7.7889447236180909E-2</v>
      </c>
      <c r="V42" s="40"/>
    </row>
  </sheetData>
  <conditionalFormatting sqref="U43:U1048576">
    <cfRule type="cellIs" dxfId="90" priority="615" operator="greaterThan">
      <formula>0.2</formula>
    </cfRule>
  </conditionalFormatting>
  <conditionalFormatting sqref="U3:U32">
    <cfRule type="cellIs" dxfId="89" priority="8" operator="greaterThan">
      <formula>0.2</formula>
    </cfRule>
  </conditionalFormatting>
  <conditionalFormatting sqref="U34:U42">
    <cfRule type="cellIs" dxfId="88" priority="7" operator="greaterThan">
      <formula>0.2</formula>
    </cfRule>
  </conditionalFormatting>
  <conditionalFormatting sqref="U1:U2">
    <cfRule type="cellIs" dxfId="87" priority="6" operator="greaterThan">
      <formula>0.2</formula>
    </cfRule>
  </conditionalFormatting>
  <conditionalFormatting sqref="U34:U42 U3:U32">
    <cfRule type="colorScale" priority="5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3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2">
    <pageSetUpPr fitToPage="1"/>
  </sheetPr>
  <dimension ref="A1:U29"/>
  <sheetViews>
    <sheetView showGridLines="0" zoomScaleNormal="100" workbookViewId="0">
      <selection activeCell="R5" sqref="R5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31" style="11" bestFit="1" customWidth="1"/>
    <col min="16" max="17" width="10.7109375" style="23" customWidth="1"/>
    <col min="18" max="18" width="10.42578125" style="23" customWidth="1"/>
    <col min="19" max="16384" width="9.140625" style="23"/>
  </cols>
  <sheetData>
    <row r="1" spans="1:21" ht="54" customHeight="1" x14ac:dyDescent="0.25">
      <c r="A1" s="558" t="s">
        <v>98</v>
      </c>
      <c r="B1" s="558"/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  <c r="R1" s="558"/>
    </row>
    <row r="3" spans="1:21" ht="26.25" customHeight="1" x14ac:dyDescent="0.25">
      <c r="O3" s="559" t="s">
        <v>50</v>
      </c>
      <c r="P3" s="560"/>
      <c r="Q3" s="560"/>
      <c r="R3" s="560"/>
    </row>
    <row r="4" spans="1:21" x14ac:dyDescent="0.25">
      <c r="O4" s="561" t="s">
        <v>20</v>
      </c>
      <c r="P4" s="562"/>
      <c r="Q4" s="563"/>
      <c r="R4" s="30" t="s">
        <v>24</v>
      </c>
    </row>
    <row r="5" spans="1:21" x14ac:dyDescent="0.25">
      <c r="O5" s="306" t="s">
        <v>13</v>
      </c>
      <c r="P5" s="307"/>
      <c r="Q5" s="308"/>
      <c r="R5" s="255" t="e">
        <f>SUMIF('EB216'!$V$1:$V$156,O5,'EB216'!#REF!)</f>
        <v>#REF!</v>
      </c>
    </row>
    <row r="6" spans="1:21" x14ac:dyDescent="0.25">
      <c r="O6" s="306" t="s">
        <v>11</v>
      </c>
      <c r="P6" s="307"/>
      <c r="Q6" s="308"/>
      <c r="R6" s="255" t="e">
        <f>SUMIF('EB216'!$V$1:$V$156,O6,'EB216'!#REF!)</f>
        <v>#REF!</v>
      </c>
    </row>
    <row r="7" spans="1:21" x14ac:dyDescent="0.25">
      <c r="O7" s="306" t="s">
        <v>7</v>
      </c>
      <c r="P7" s="307"/>
      <c r="Q7" s="308"/>
      <c r="R7" s="255" t="e">
        <f>SUMIF('EB216'!$V$1:$V$156,O7,'EB216'!#REF!)</f>
        <v>#REF!</v>
      </c>
    </row>
    <row r="8" spans="1:21" x14ac:dyDescent="0.25">
      <c r="O8" s="306" t="s">
        <v>30</v>
      </c>
      <c r="P8" s="307"/>
      <c r="Q8" s="308"/>
      <c r="R8" s="255" t="e">
        <f>SUMIF('EB216'!$V$1:$V$156,O8,'EB216'!#REF!)</f>
        <v>#REF!</v>
      </c>
    </row>
    <row r="9" spans="1:21" x14ac:dyDescent="0.25">
      <c r="O9" s="306" t="s">
        <v>15</v>
      </c>
      <c r="P9" s="307"/>
      <c r="Q9" s="308"/>
      <c r="R9" s="255" t="e">
        <f>SUMIF('EB216'!$V$1:$V$156,O9,'EB216'!#REF!)</f>
        <v>#REF!</v>
      </c>
    </row>
    <row r="10" spans="1:21" ht="15.75" x14ac:dyDescent="0.25">
      <c r="O10" s="306" t="s">
        <v>5</v>
      </c>
      <c r="P10" s="307"/>
      <c r="Q10" s="308"/>
      <c r="R10" s="255" t="e">
        <f>SUMIF('EB216'!$V$1:$V$156,O10,'EB216'!#REF!)</f>
        <v>#REF!</v>
      </c>
      <c r="U10" s="125"/>
    </row>
    <row r="11" spans="1:21" x14ac:dyDescent="0.25">
      <c r="O11" s="306" t="s">
        <v>33</v>
      </c>
      <c r="P11" s="307"/>
      <c r="Q11" s="308"/>
      <c r="R11" s="255" t="e">
        <f>SUMIF('EB216'!$V$1:$V$156,O11,'EB216'!#REF!)</f>
        <v>#REF!</v>
      </c>
    </row>
    <row r="12" spans="1:21" x14ac:dyDescent="0.25">
      <c r="O12" s="306" t="s">
        <v>0</v>
      </c>
      <c r="P12" s="307"/>
      <c r="Q12" s="308"/>
      <c r="R12" s="255" t="e">
        <f>SUMIF('EB216'!$V$1:$V$156,O12,'EB216'!#REF!)</f>
        <v>#REF!</v>
      </c>
    </row>
    <row r="13" spans="1:21" x14ac:dyDescent="0.25">
      <c r="O13" s="306" t="s">
        <v>14</v>
      </c>
      <c r="P13" s="307"/>
      <c r="Q13" s="308"/>
      <c r="R13" s="255" t="e">
        <f>SUMIF('EB216'!$V$1:$V$156,O13,'EB216'!#REF!)</f>
        <v>#REF!</v>
      </c>
    </row>
    <row r="14" spans="1:21" x14ac:dyDescent="0.25">
      <c r="O14" s="306" t="s">
        <v>3</v>
      </c>
      <c r="P14" s="307"/>
      <c r="Q14" s="308"/>
      <c r="R14" s="255" t="e">
        <f>SUMIF('EB216'!$V$1:$V$156,O14,'EB216'!#REF!)</f>
        <v>#REF!</v>
      </c>
    </row>
    <row r="15" spans="1:21" x14ac:dyDescent="0.25">
      <c r="O15" s="306" t="s">
        <v>12</v>
      </c>
      <c r="P15" s="307"/>
      <c r="Q15" s="308"/>
      <c r="R15" s="255" t="e">
        <f>SUMIF('EB216'!$V$1:$V$156,O15,'EB216'!#REF!)</f>
        <v>#REF!</v>
      </c>
    </row>
    <row r="16" spans="1:21" x14ac:dyDescent="0.25">
      <c r="O16" s="306" t="s">
        <v>8</v>
      </c>
      <c r="P16" s="307"/>
      <c r="Q16" s="308"/>
      <c r="R16" s="255" t="e">
        <f>SUMIF('EB216'!$V$1:$V$156,O16,'EB216'!#REF!)</f>
        <v>#REF!</v>
      </c>
    </row>
    <row r="17" spans="1:18" x14ac:dyDescent="0.25">
      <c r="O17" s="306" t="s">
        <v>19</v>
      </c>
      <c r="P17" s="307"/>
      <c r="Q17" s="308"/>
      <c r="R17" s="255" t="e">
        <f>SUMIF('EB216'!$V$1:$V$156,O17,'EB216'!#REF!)</f>
        <v>#REF!</v>
      </c>
    </row>
    <row r="18" spans="1:18" x14ac:dyDescent="0.25">
      <c r="O18" s="306" t="s">
        <v>10</v>
      </c>
      <c r="P18" s="307"/>
      <c r="Q18" s="308"/>
      <c r="R18" s="255" t="e">
        <f>SUMIF('EB216'!$V$1:$V$156,O18,'EB216'!#REF!)</f>
        <v>#REF!</v>
      </c>
    </row>
    <row r="19" spans="1:18" x14ac:dyDescent="0.25">
      <c r="O19" s="306" t="s">
        <v>43</v>
      </c>
      <c r="P19" s="307"/>
      <c r="Q19" s="308"/>
      <c r="R19" s="255" t="e">
        <f>SUMIF('EB216'!$V$1:$V$156,O19,'EB216'!#REF!)</f>
        <v>#REF!</v>
      </c>
    </row>
    <row r="20" spans="1:18" ht="15.75" customHeight="1" x14ac:dyDescent="0.25">
      <c r="O20" s="306" t="s">
        <v>35</v>
      </c>
      <c r="P20" s="307"/>
      <c r="Q20" s="308"/>
      <c r="R20" s="255" t="e">
        <f>SUMIF('EB216'!$V$1:$V$156,O20,'EB216'!#REF!)</f>
        <v>#REF!</v>
      </c>
    </row>
    <row r="21" spans="1:18" ht="27.75" customHeight="1" x14ac:dyDescent="0.25">
      <c r="A21" s="567" t="s">
        <v>62</v>
      </c>
      <c r="B21" s="568"/>
      <c r="C21" s="568"/>
      <c r="D21" s="568"/>
      <c r="E21" s="569"/>
      <c r="O21" s="306" t="s">
        <v>44</v>
      </c>
      <c r="P21" s="307"/>
      <c r="Q21" s="308"/>
      <c r="R21" s="255" t="e">
        <f>SUMIF('EB216'!$V$1:$V$156,O21,'EB216'!#REF!)</f>
        <v>#REF!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29" t="s">
        <v>23</v>
      </c>
      <c r="O22" s="306" t="s">
        <v>31</v>
      </c>
      <c r="P22" s="307"/>
      <c r="Q22" s="308"/>
      <c r="R22" s="255" t="e">
        <f>SUMIF('EB216'!$V$1:$V$156,O22,'EB216'!#REF!)</f>
        <v>#REF!</v>
      </c>
    </row>
    <row r="23" spans="1:18" x14ac:dyDescent="0.25">
      <c r="A23" s="301"/>
      <c r="B23" s="130" t="e">
        <f>VLOOKUP(Table14312[[#This Row],[Shop Order]],'EB216'!A:Y,4,FALSE)</f>
        <v>#N/A</v>
      </c>
      <c r="C23" s="130" t="e">
        <f>VLOOKUP(Table14312[[#This Row],[Shop Order]],'EB216'!A:Y,5,FALSE)</f>
        <v>#N/A</v>
      </c>
      <c r="D23" s="131" t="e">
        <f>VLOOKUP(Table14312[[#This Row],[Shop Order]],'EB216'!A:Y,6,FALSE)</f>
        <v>#N/A</v>
      </c>
      <c r="E23" s="132" t="e">
        <f>VLOOKUP(Table14312[[#This Row],[Shop Order]],'EB216'!A:Y,7,FALSE)</f>
        <v>#N/A</v>
      </c>
      <c r="O23" s="306" t="s">
        <v>28</v>
      </c>
      <c r="P23" s="307"/>
      <c r="Q23" s="308"/>
      <c r="R23" s="255" t="e">
        <f>SUMIF('EB216'!$V$1:$V$156,O23,'EB216'!#REF!)</f>
        <v>#REF!</v>
      </c>
    </row>
    <row r="24" spans="1:18" x14ac:dyDescent="0.25">
      <c r="A24" s="301"/>
      <c r="B24" s="130" t="e">
        <f>VLOOKUP(Table14312[[#This Row],[Shop Order]],'EB216'!A:Y,4,FALSE)</f>
        <v>#N/A</v>
      </c>
      <c r="C24" s="130" t="e">
        <f>VLOOKUP(Table14312[[#This Row],[Shop Order]],'EB216'!A:Y,5,FALSE)</f>
        <v>#N/A</v>
      </c>
      <c r="D24" s="131" t="e">
        <f>VLOOKUP(Table14312[[#This Row],[Shop Order]],'EB216'!A:Y,6,FALSE)</f>
        <v>#N/A</v>
      </c>
      <c r="E24" s="132" t="e">
        <f>VLOOKUP(Table14312[[#This Row],[Shop Order]],'EB216'!A:Y,7,FALSE)</f>
        <v>#N/A</v>
      </c>
      <c r="G24" s="24"/>
      <c r="O24" s="306" t="s">
        <v>45</v>
      </c>
      <c r="P24" s="307"/>
      <c r="Q24" s="308"/>
      <c r="R24" s="255" t="e">
        <f>SUMIF('EB216'!$V$1:$V$156,O24,'EB216'!#REF!)</f>
        <v>#REF!</v>
      </c>
    </row>
    <row r="25" spans="1:18" x14ac:dyDescent="0.25">
      <c r="A25" s="301"/>
      <c r="B25" s="130" t="e">
        <f>VLOOKUP(Table14312[[#This Row],[Shop Order]],'EB216'!A:Y,4,FALSE)</f>
        <v>#N/A</v>
      </c>
      <c r="C25" s="130" t="e">
        <f>VLOOKUP(Table14312[[#This Row],[Shop Order]],'EB216'!A:Y,5,FALSE)</f>
        <v>#N/A</v>
      </c>
      <c r="D25" s="131" t="e">
        <f>VLOOKUP(Table14312[[#This Row],[Shop Order]],'EB216'!A:Y,6,FALSE)</f>
        <v>#N/A</v>
      </c>
      <c r="E25" s="132" t="e">
        <f>VLOOKUP(Table14312[[#This Row],[Shop Order]],'EB216'!A:Y,7,FALSE)</f>
        <v>#N/A</v>
      </c>
      <c r="O25" s="306" t="s">
        <v>114</v>
      </c>
      <c r="P25" s="307"/>
      <c r="Q25" s="308"/>
      <c r="R25" s="255" t="e">
        <f>SUMIF('EB216'!$V$1:$V$156,O25,'EB216'!#REF!)</f>
        <v>#REF!</v>
      </c>
    </row>
    <row r="26" spans="1:18" x14ac:dyDescent="0.25">
      <c r="A26" s="301"/>
      <c r="B26" s="130" t="e">
        <f>VLOOKUP(Table14312[[#This Row],[Shop Order]],'EB216'!A:Y,4,FALSE)</f>
        <v>#N/A</v>
      </c>
      <c r="C26" s="130" t="e">
        <f>VLOOKUP(Table14312[[#This Row],[Shop Order]],'EB216'!A:Y,5,FALSE)</f>
        <v>#N/A</v>
      </c>
      <c r="D26" s="131" t="e">
        <f>VLOOKUP(Table14312[[#This Row],[Shop Order]],'EB216'!A:Y,6,FALSE)</f>
        <v>#N/A</v>
      </c>
      <c r="E26" s="132" t="e">
        <f>VLOOKUP(Table14312[[#This Row],[Shop Order]],'EB216'!A:Y,7,FALSE)</f>
        <v>#N/A</v>
      </c>
      <c r="O26" s="306" t="s">
        <v>42</v>
      </c>
      <c r="P26" s="307"/>
      <c r="Q26" s="308"/>
      <c r="R26" s="255" t="e">
        <f>SUMIF('EB216'!$V$1:$V$156,O26,'EB216'!#REF!)</f>
        <v>#REF!</v>
      </c>
    </row>
    <row r="27" spans="1:18" x14ac:dyDescent="0.25">
      <c r="A27" s="301"/>
      <c r="B27" s="130" t="e">
        <f>VLOOKUP(Table14312[[#This Row],[Shop Order]],'EB216'!A:Y,4,FALSE)</f>
        <v>#N/A</v>
      </c>
      <c r="C27" s="130" t="e">
        <f>VLOOKUP(Table14312[[#This Row],[Shop Order]],'EB216'!A:Y,5,FALSE)</f>
        <v>#N/A</v>
      </c>
      <c r="D27" s="131" t="e">
        <f>VLOOKUP(Table14312[[#This Row],[Shop Order]],'EB216'!A:Y,6,FALSE)</f>
        <v>#N/A</v>
      </c>
      <c r="E27" s="132" t="e">
        <f>VLOOKUP(Table14312[[#This Row],[Shop Order]],'EB216'!A:Y,7,FALSE)</f>
        <v>#N/A</v>
      </c>
      <c r="O27" s="306" t="s">
        <v>40</v>
      </c>
      <c r="P27" s="307"/>
      <c r="Q27" s="308"/>
      <c r="R27" s="255" t="e">
        <f>SUMIF('EB216'!$V$1:$V$156,O27,'EB216'!#REF!)</f>
        <v>#REF!</v>
      </c>
    </row>
    <row r="28" spans="1:18" ht="15.75" thickBot="1" x14ac:dyDescent="0.3">
      <c r="A28" s="301"/>
      <c r="B28" s="130" t="e">
        <f>VLOOKUP(Table14312[[#This Row],[Shop Order]],'EB216'!A:Y,4,FALSE)</f>
        <v>#N/A</v>
      </c>
      <c r="C28" s="130" t="e">
        <f>VLOOKUP(Table14312[[#This Row],[Shop Order]],'EB216'!A:Y,5,FALSE)</f>
        <v>#N/A</v>
      </c>
      <c r="D28" s="131" t="e">
        <f>VLOOKUP(Table14312[[#This Row],[Shop Order]],'EB216'!A:Y,6,FALSE)</f>
        <v>#N/A</v>
      </c>
      <c r="E28" s="132" t="e">
        <f>VLOOKUP(Table14312[[#This Row],[Shop Order]],'EB216'!A:Y,7,FALSE)</f>
        <v>#N/A</v>
      </c>
      <c r="O28" s="306" t="s">
        <v>36</v>
      </c>
      <c r="P28" s="307"/>
      <c r="Q28" s="308"/>
      <c r="R28" s="255" t="e">
        <f>SUMIF('EB216'!$V$1:$V$156,O28,'EB216'!#REF!)</f>
        <v>#REF!</v>
      </c>
    </row>
    <row r="29" spans="1:18" ht="15.75" thickBot="1" x14ac:dyDescent="0.3">
      <c r="A29" s="564" t="s">
        <v>49</v>
      </c>
      <c r="B29" s="565"/>
      <c r="C29" s="566"/>
      <c r="D29" s="75" t="e">
        <f>AVERAGE(D23)</f>
        <v>#N/A</v>
      </c>
      <c r="E29" s="26"/>
      <c r="O29" s="306"/>
      <c r="P29" s="307"/>
      <c r="Q29" s="308"/>
      <c r="R29" s="255"/>
    </row>
  </sheetData>
  <autoFilter ref="O4:R4" xr:uid="{00000000-0009-0000-0000-00000D000000}">
    <filterColumn colId="0" showButton="0"/>
    <filterColumn colId="1" showButton="0"/>
    <sortState xmlns:xlrd2="http://schemas.microsoft.com/office/spreadsheetml/2017/richdata2" ref="O5:R28">
      <sortCondition descending="1" ref="R4"/>
    </sortState>
  </autoFilter>
  <dataConsolidate/>
  <mergeCells count="5">
    <mergeCell ref="A29:C29"/>
    <mergeCell ref="A1:R1"/>
    <mergeCell ref="O3:R3"/>
    <mergeCell ref="O4:Q4"/>
    <mergeCell ref="A21:E21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0">
    <pageSetUpPr fitToPage="1"/>
  </sheetPr>
  <dimension ref="A1:AC133"/>
  <sheetViews>
    <sheetView topLeftCell="A98" zoomScale="65" zoomScaleNormal="65" zoomScaleSheetLayoutView="90" workbookViewId="0">
      <selection activeCell="U134" sqref="U134"/>
    </sheetView>
  </sheetViews>
  <sheetFormatPr defaultColWidth="9.140625" defaultRowHeight="15" x14ac:dyDescent="0.25"/>
  <cols>
    <col min="1" max="1" width="14.5703125" style="41" bestFit="1" customWidth="1"/>
    <col min="2" max="2" width="12.7109375" style="41" customWidth="1"/>
    <col min="3" max="3" width="7" style="41" customWidth="1"/>
    <col min="4" max="4" width="7.7109375" style="41" customWidth="1"/>
    <col min="5" max="5" width="8" style="41" bestFit="1" customWidth="1"/>
    <col min="6" max="6" width="11.140625" style="41" bestFit="1" customWidth="1"/>
    <col min="7" max="7" width="12.5703125" style="13" bestFit="1" customWidth="1"/>
    <col min="8" max="19" width="15.85546875" style="7" customWidth="1"/>
    <col min="20" max="20" width="8.42578125" style="8" bestFit="1" customWidth="1"/>
    <col min="21" max="21" width="9.5703125" style="9" customWidth="1"/>
    <col min="22" max="22" width="35.42578125" style="41" customWidth="1"/>
    <col min="23" max="23" width="52.28515625" style="10" customWidth="1"/>
    <col min="24" max="29" width="9.140625" style="12"/>
    <col min="30" max="16384" width="9.140625" style="41"/>
  </cols>
  <sheetData>
    <row r="1" spans="1:23" ht="75.75" thickBot="1" x14ac:dyDescent="0.3">
      <c r="A1" s="43" t="s">
        <v>22</v>
      </c>
      <c r="B1" s="43" t="s">
        <v>47</v>
      </c>
      <c r="C1" s="43" t="s">
        <v>52</v>
      </c>
      <c r="D1" s="43" t="s">
        <v>17</v>
      </c>
      <c r="E1" s="42" t="s">
        <v>16</v>
      </c>
      <c r="F1" s="44" t="s">
        <v>1</v>
      </c>
      <c r="G1" s="45" t="s">
        <v>23</v>
      </c>
      <c r="H1" s="46" t="s">
        <v>72</v>
      </c>
      <c r="I1" s="46" t="s">
        <v>73</v>
      </c>
      <c r="J1" s="46" t="s">
        <v>53</v>
      </c>
      <c r="K1" s="46" t="s">
        <v>58</v>
      </c>
      <c r="L1" s="46" t="s">
        <v>54</v>
      </c>
      <c r="M1" s="46" t="s">
        <v>59</v>
      </c>
      <c r="N1" s="46" t="s">
        <v>55</v>
      </c>
      <c r="O1" s="46" t="s">
        <v>60</v>
      </c>
      <c r="P1" s="46" t="s">
        <v>56</v>
      </c>
      <c r="Q1" s="46" t="s">
        <v>74</v>
      </c>
      <c r="R1" s="46" t="s">
        <v>115</v>
      </c>
      <c r="S1" s="46" t="s">
        <v>41</v>
      </c>
      <c r="T1" s="46" t="s">
        <v>4</v>
      </c>
      <c r="U1" s="42" t="s">
        <v>2</v>
      </c>
      <c r="V1" s="80" t="s">
        <v>20</v>
      </c>
      <c r="W1" s="81" t="s">
        <v>6</v>
      </c>
    </row>
    <row r="2" spans="1:23" ht="15.75" thickBot="1" x14ac:dyDescent="0.3">
      <c r="A2" s="73">
        <v>1512027</v>
      </c>
      <c r="B2" s="73" t="s">
        <v>178</v>
      </c>
      <c r="C2" s="317">
        <v>1152</v>
      </c>
      <c r="D2" s="317">
        <v>1266</v>
      </c>
      <c r="E2" s="317">
        <v>1107</v>
      </c>
      <c r="F2" s="318">
        <f>E2/D2</f>
        <v>0.87440758293838861</v>
      </c>
      <c r="G2" s="48">
        <v>45301</v>
      </c>
      <c r="H2" s="261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85"/>
      <c r="U2" s="166"/>
      <c r="V2" s="86" t="s">
        <v>75</v>
      </c>
      <c r="W2" s="39" t="s">
        <v>119</v>
      </c>
    </row>
    <row r="3" spans="1:23" x14ac:dyDescent="0.25">
      <c r="A3" s="49"/>
      <c r="B3" s="50"/>
      <c r="C3" s="50"/>
      <c r="D3" s="50"/>
      <c r="E3" s="50"/>
      <c r="F3" s="50"/>
      <c r="G3" s="51"/>
      <c r="H3" s="262">
        <v>21</v>
      </c>
      <c r="I3" s="339"/>
      <c r="J3" s="59">
        <v>3</v>
      </c>
      <c r="K3" s="59"/>
      <c r="L3" s="59"/>
      <c r="M3" s="59"/>
      <c r="N3" s="59"/>
      <c r="O3" s="59"/>
      <c r="P3" s="59"/>
      <c r="Q3" s="59"/>
      <c r="R3" s="59"/>
      <c r="S3" s="59">
        <v>13</v>
      </c>
      <c r="T3" s="347">
        <f>SUM(H3,J3,L3,N3,P3,R3,S3)</f>
        <v>37</v>
      </c>
      <c r="U3" s="183">
        <f>($T3)/$D$2</f>
        <v>2.9225908372827805E-2</v>
      </c>
      <c r="V3" s="263" t="s">
        <v>15</v>
      </c>
      <c r="W3" s="270" t="s">
        <v>201</v>
      </c>
    </row>
    <row r="4" spans="1:23" x14ac:dyDescent="0.25">
      <c r="A4" s="52"/>
      <c r="B4" s="53"/>
      <c r="C4" s="53" t="s">
        <v>229</v>
      </c>
      <c r="D4" s="53"/>
      <c r="E4" s="53"/>
      <c r="F4" s="53"/>
      <c r="G4" s="54"/>
      <c r="H4" s="297"/>
      <c r="I4" s="345"/>
      <c r="J4" s="62"/>
      <c r="K4" s="62"/>
      <c r="L4" s="62"/>
      <c r="M4" s="62"/>
      <c r="N4" s="62"/>
      <c r="O4" s="62"/>
      <c r="P4" s="62"/>
      <c r="Q4" s="62"/>
      <c r="R4" s="62"/>
      <c r="S4" s="62"/>
      <c r="T4" s="346">
        <f>SUM(H4,J4,L4,N4,P4,R4,S4)</f>
        <v>0</v>
      </c>
      <c r="U4" s="183">
        <f t="shared" ref="U4:U43" si="0">($T4)/$D$2</f>
        <v>0</v>
      </c>
      <c r="V4" s="284" t="s">
        <v>43</v>
      </c>
      <c r="W4" s="270" t="s">
        <v>332</v>
      </c>
    </row>
    <row r="5" spans="1:23" x14ac:dyDescent="0.25">
      <c r="A5" s="52"/>
      <c r="B5" s="265"/>
      <c r="C5" s="265"/>
      <c r="D5" s="265"/>
      <c r="E5" s="265"/>
      <c r="F5" s="265"/>
      <c r="G5" s="266"/>
      <c r="H5" s="267">
        <v>26</v>
      </c>
      <c r="I5" s="340"/>
      <c r="J5" s="61">
        <v>2</v>
      </c>
      <c r="K5" s="61"/>
      <c r="L5" s="61"/>
      <c r="M5" s="61"/>
      <c r="N5" s="61"/>
      <c r="O5" s="61"/>
      <c r="P5" s="61"/>
      <c r="Q5" s="61"/>
      <c r="R5" s="61"/>
      <c r="S5" s="61"/>
      <c r="T5" s="268">
        <f t="shared" ref="T5:T28" si="1">SUM(H5,J5,L5,N5,P5,R5,S5)</f>
        <v>28</v>
      </c>
      <c r="U5" s="183">
        <f t="shared" si="0"/>
        <v>2.2116903633491312E-2</v>
      </c>
      <c r="V5" s="269" t="s">
        <v>5</v>
      </c>
      <c r="W5" s="311"/>
    </row>
    <row r="6" spans="1:23" x14ac:dyDescent="0.25">
      <c r="A6" s="52"/>
      <c r="B6" s="265"/>
      <c r="C6" s="265"/>
      <c r="D6" s="265"/>
      <c r="E6" s="265"/>
      <c r="F6" s="265"/>
      <c r="G6" s="266"/>
      <c r="H6" s="267">
        <v>27</v>
      </c>
      <c r="I6" s="340"/>
      <c r="J6" s="61">
        <v>2</v>
      </c>
      <c r="K6" s="61"/>
      <c r="L6" s="61"/>
      <c r="M6" s="61"/>
      <c r="N6" s="61"/>
      <c r="O6" s="61"/>
      <c r="P6" s="61"/>
      <c r="Q6" s="61"/>
      <c r="R6" s="61"/>
      <c r="S6" s="61"/>
      <c r="T6" s="268">
        <f t="shared" si="1"/>
        <v>29</v>
      </c>
      <c r="U6" s="183">
        <f t="shared" si="0"/>
        <v>2.2906793048973143E-2</v>
      </c>
      <c r="V6" s="269" t="s">
        <v>13</v>
      </c>
      <c r="W6" s="311"/>
    </row>
    <row r="7" spans="1:23" x14ac:dyDescent="0.25">
      <c r="A7" s="52"/>
      <c r="B7" s="265"/>
      <c r="C7" s="265"/>
      <c r="D7" s="265"/>
      <c r="E7" s="265"/>
      <c r="F7" s="265"/>
      <c r="G7" s="266"/>
      <c r="H7" s="267">
        <v>2</v>
      </c>
      <c r="I7" s="340"/>
      <c r="J7" s="61"/>
      <c r="K7" s="61"/>
      <c r="L7" s="61"/>
      <c r="M7" s="61"/>
      <c r="N7" s="61"/>
      <c r="O7" s="61"/>
      <c r="P7" s="61"/>
      <c r="Q7" s="61"/>
      <c r="R7" s="61"/>
      <c r="S7" s="61">
        <v>1</v>
      </c>
      <c r="T7" s="268">
        <f t="shared" si="1"/>
        <v>3</v>
      </c>
      <c r="U7" s="183">
        <f t="shared" si="0"/>
        <v>2.3696682464454978E-3</v>
      </c>
      <c r="V7" s="269" t="s">
        <v>14</v>
      </c>
      <c r="W7" s="271"/>
    </row>
    <row r="8" spans="1:23" x14ac:dyDescent="0.25">
      <c r="A8" s="52"/>
      <c r="B8" s="265"/>
      <c r="C8" s="265"/>
      <c r="D8" s="265"/>
      <c r="E8" s="265"/>
      <c r="F8" s="265"/>
      <c r="G8" s="266"/>
      <c r="H8" s="267">
        <v>2</v>
      </c>
      <c r="I8" s="340"/>
      <c r="J8" s="61"/>
      <c r="K8" s="61"/>
      <c r="L8" s="61"/>
      <c r="M8" s="61"/>
      <c r="N8" s="61"/>
      <c r="O8" s="61"/>
      <c r="P8" s="61"/>
      <c r="Q8" s="61"/>
      <c r="R8" s="61"/>
      <c r="S8" s="61"/>
      <c r="T8" s="268">
        <f t="shared" si="1"/>
        <v>2</v>
      </c>
      <c r="U8" s="183">
        <f t="shared" si="0"/>
        <v>1.5797788309636651E-3</v>
      </c>
      <c r="V8" s="269" t="s">
        <v>30</v>
      </c>
      <c r="W8" s="271"/>
    </row>
    <row r="9" spans="1:23" x14ac:dyDescent="0.25">
      <c r="A9" s="52"/>
      <c r="B9" s="265"/>
      <c r="C9" s="265"/>
      <c r="D9" s="265"/>
      <c r="E9" s="265"/>
      <c r="F9" s="265"/>
      <c r="G9" s="266"/>
      <c r="H9" s="267"/>
      <c r="I9" s="340"/>
      <c r="J9" s="61"/>
      <c r="K9" s="61"/>
      <c r="L9" s="61"/>
      <c r="M9" s="61"/>
      <c r="N9" s="61"/>
      <c r="O9" s="61"/>
      <c r="P9" s="61"/>
      <c r="Q9" s="61"/>
      <c r="R9" s="61"/>
      <c r="S9" s="61"/>
      <c r="T9" s="268">
        <f t="shared" si="1"/>
        <v>0</v>
      </c>
      <c r="U9" s="183">
        <f t="shared" si="0"/>
        <v>0</v>
      </c>
      <c r="V9" s="269" t="s">
        <v>31</v>
      </c>
      <c r="W9" s="271"/>
    </row>
    <row r="10" spans="1:23" x14ac:dyDescent="0.25">
      <c r="A10" s="52"/>
      <c r="B10" s="265"/>
      <c r="C10" s="265"/>
      <c r="D10" s="265"/>
      <c r="E10" s="265"/>
      <c r="F10" s="265"/>
      <c r="G10" s="266"/>
      <c r="H10" s="267"/>
      <c r="I10" s="340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268">
        <f t="shared" si="1"/>
        <v>0</v>
      </c>
      <c r="U10" s="183">
        <f t="shared" si="0"/>
        <v>0</v>
      </c>
      <c r="V10" s="269" t="s">
        <v>166</v>
      </c>
      <c r="W10" s="271"/>
    </row>
    <row r="11" spans="1:23" x14ac:dyDescent="0.25">
      <c r="A11" s="52"/>
      <c r="B11" s="265"/>
      <c r="C11" s="265"/>
      <c r="D11" s="265"/>
      <c r="E11" s="265"/>
      <c r="F11" s="265" t="s">
        <v>100</v>
      </c>
      <c r="G11" s="266"/>
      <c r="H11" s="267"/>
      <c r="I11" s="34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268">
        <f t="shared" si="1"/>
        <v>0</v>
      </c>
      <c r="U11" s="183">
        <f t="shared" si="0"/>
        <v>0</v>
      </c>
      <c r="V11" s="269" t="s">
        <v>29</v>
      </c>
      <c r="W11" s="271"/>
    </row>
    <row r="12" spans="1:23" x14ac:dyDescent="0.25">
      <c r="A12" s="52"/>
      <c r="B12" s="265"/>
      <c r="C12" s="265"/>
      <c r="D12" s="265"/>
      <c r="E12" s="265"/>
      <c r="F12" s="265"/>
      <c r="G12" s="266"/>
      <c r="H12" s="267">
        <v>1</v>
      </c>
      <c r="I12" s="340"/>
      <c r="J12" s="61"/>
      <c r="K12" s="61"/>
      <c r="L12" s="61"/>
      <c r="M12" s="61"/>
      <c r="N12" s="61"/>
      <c r="O12" s="61"/>
      <c r="P12" s="61"/>
      <c r="Q12" s="61"/>
      <c r="R12" s="61"/>
      <c r="S12" s="61">
        <v>2</v>
      </c>
      <c r="T12" s="268">
        <f t="shared" si="1"/>
        <v>3</v>
      </c>
      <c r="U12" s="183">
        <f t="shared" si="0"/>
        <v>2.3696682464454978E-3</v>
      </c>
      <c r="V12" s="269" t="s">
        <v>0</v>
      </c>
      <c r="W12" s="272"/>
    </row>
    <row r="13" spans="1:23" x14ac:dyDescent="0.25">
      <c r="A13" s="52"/>
      <c r="B13" s="265"/>
      <c r="C13" s="265"/>
      <c r="D13" s="265"/>
      <c r="E13" s="265"/>
      <c r="F13" s="265"/>
      <c r="G13" s="266"/>
      <c r="H13" s="267">
        <v>22</v>
      </c>
      <c r="I13" s="340"/>
      <c r="J13" s="61">
        <v>4</v>
      </c>
      <c r="K13" s="61"/>
      <c r="L13" s="61"/>
      <c r="M13" s="61"/>
      <c r="N13" s="61"/>
      <c r="O13" s="61"/>
      <c r="P13" s="61"/>
      <c r="Q13" s="61"/>
      <c r="R13" s="61"/>
      <c r="S13" s="61">
        <v>1</v>
      </c>
      <c r="T13" s="268">
        <f t="shared" si="1"/>
        <v>27</v>
      </c>
      <c r="U13" s="183">
        <f t="shared" si="0"/>
        <v>2.132701421800948E-2</v>
      </c>
      <c r="V13" s="269" t="s">
        <v>11</v>
      </c>
      <c r="W13" s="272"/>
    </row>
    <row r="14" spans="1:23" x14ac:dyDescent="0.25">
      <c r="A14" s="52"/>
      <c r="B14" s="265"/>
      <c r="C14" s="265"/>
      <c r="D14" s="265"/>
      <c r="E14" s="265"/>
      <c r="F14" s="265"/>
      <c r="G14" s="266"/>
      <c r="H14" s="267">
        <v>6</v>
      </c>
      <c r="I14" s="340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268">
        <f t="shared" si="1"/>
        <v>6</v>
      </c>
      <c r="U14" s="183">
        <f t="shared" si="0"/>
        <v>4.7393364928909956E-3</v>
      </c>
      <c r="V14" s="269" t="s">
        <v>33</v>
      </c>
      <c r="W14" s="272"/>
    </row>
    <row r="15" spans="1:23" x14ac:dyDescent="0.25">
      <c r="A15" s="52"/>
      <c r="B15" s="265"/>
      <c r="C15" s="265"/>
      <c r="D15" s="265"/>
      <c r="E15" s="265"/>
      <c r="F15" s="265"/>
      <c r="G15" s="266"/>
      <c r="H15" s="273">
        <v>4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274">
        <f t="shared" si="1"/>
        <v>4</v>
      </c>
      <c r="U15" s="183">
        <f t="shared" si="0"/>
        <v>3.1595576619273301E-3</v>
      </c>
      <c r="V15" s="148" t="s">
        <v>156</v>
      </c>
      <c r="W15" s="272"/>
    </row>
    <row r="16" spans="1:23" x14ac:dyDescent="0.25">
      <c r="A16" s="52"/>
      <c r="B16" s="265"/>
      <c r="C16" s="265"/>
      <c r="D16" s="265"/>
      <c r="E16" s="265"/>
      <c r="F16" s="265"/>
      <c r="G16" s="56"/>
      <c r="H16" s="276"/>
      <c r="I16" s="61"/>
      <c r="J16" s="66"/>
      <c r="K16" s="61"/>
      <c r="L16" s="61"/>
      <c r="M16" s="61"/>
      <c r="N16" s="61"/>
      <c r="O16" s="61"/>
      <c r="P16" s="61"/>
      <c r="Q16" s="61"/>
      <c r="R16" s="61"/>
      <c r="S16" s="61"/>
      <c r="T16" s="268">
        <f t="shared" si="1"/>
        <v>0</v>
      </c>
      <c r="U16" s="183">
        <f t="shared" si="0"/>
        <v>0</v>
      </c>
      <c r="V16" s="334" t="s">
        <v>85</v>
      </c>
      <c r="W16" s="277"/>
    </row>
    <row r="17" spans="1:23" x14ac:dyDescent="0.25">
      <c r="A17" s="52"/>
      <c r="B17" s="265"/>
      <c r="C17" s="265"/>
      <c r="D17" s="265"/>
      <c r="E17" s="265"/>
      <c r="F17" s="265"/>
      <c r="G17" s="56"/>
      <c r="H17" s="278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268">
        <f t="shared" si="1"/>
        <v>0</v>
      </c>
      <c r="U17" s="183">
        <f t="shared" si="0"/>
        <v>0</v>
      </c>
      <c r="V17" s="188" t="s">
        <v>165</v>
      </c>
      <c r="W17" s="264"/>
    </row>
    <row r="18" spans="1:23" x14ac:dyDescent="0.25">
      <c r="A18" s="52"/>
      <c r="B18" s="265"/>
      <c r="C18" s="265"/>
      <c r="D18" s="265"/>
      <c r="E18" s="265"/>
      <c r="F18" s="265"/>
      <c r="G18" s="266"/>
      <c r="H18" s="267"/>
      <c r="I18" s="276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268">
        <f t="shared" si="1"/>
        <v>0</v>
      </c>
      <c r="U18" s="183">
        <f t="shared" si="0"/>
        <v>0</v>
      </c>
      <c r="V18" s="269" t="s">
        <v>112</v>
      </c>
      <c r="W18" s="264"/>
    </row>
    <row r="19" spans="1:23" ht="15.75" thickBot="1" x14ac:dyDescent="0.3">
      <c r="A19" s="52"/>
      <c r="B19" s="265"/>
      <c r="C19" s="265"/>
      <c r="D19" s="265"/>
      <c r="E19" s="265"/>
      <c r="F19" s="265"/>
      <c r="G19" s="266"/>
      <c r="H19" s="279"/>
      <c r="I19" s="174"/>
      <c r="J19" s="174">
        <v>5</v>
      </c>
      <c r="K19" s="174"/>
      <c r="L19" s="174"/>
      <c r="M19" s="174"/>
      <c r="N19" s="174"/>
      <c r="O19" s="174"/>
      <c r="P19" s="174"/>
      <c r="Q19" s="174"/>
      <c r="R19" s="174"/>
      <c r="S19" s="174"/>
      <c r="T19" s="280">
        <f t="shared" si="1"/>
        <v>5</v>
      </c>
      <c r="U19" s="245">
        <f t="shared" si="0"/>
        <v>3.9494470774091624E-3</v>
      </c>
      <c r="V19" s="281" t="s">
        <v>27</v>
      </c>
      <c r="W19" s="282"/>
    </row>
    <row r="20" spans="1:23" x14ac:dyDescent="0.25">
      <c r="A20" s="52"/>
      <c r="B20" s="265"/>
      <c r="C20" s="265" t="s">
        <v>111</v>
      </c>
      <c r="D20" s="265"/>
      <c r="E20" s="265"/>
      <c r="F20" s="265"/>
      <c r="G20" s="266"/>
      <c r="H20" s="283"/>
      <c r="I20" s="62">
        <v>4</v>
      </c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268">
        <f t="shared" si="1"/>
        <v>0</v>
      </c>
      <c r="U20" s="183">
        <f t="shared" si="0"/>
        <v>0</v>
      </c>
      <c r="V20" s="284" t="s">
        <v>10</v>
      </c>
      <c r="W20" s="264"/>
    </row>
    <row r="21" spans="1:23" x14ac:dyDescent="0.25">
      <c r="A21" s="52"/>
      <c r="B21" s="265"/>
      <c r="C21" s="265"/>
      <c r="D21" s="265"/>
      <c r="E21" s="265"/>
      <c r="F21" s="265"/>
      <c r="G21" s="266"/>
      <c r="H21" s="285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268">
        <f t="shared" si="1"/>
        <v>0</v>
      </c>
      <c r="U21" s="183">
        <f t="shared" si="0"/>
        <v>0</v>
      </c>
      <c r="V21" s="269" t="s">
        <v>28</v>
      </c>
      <c r="W21" s="264"/>
    </row>
    <row r="22" spans="1:23" x14ac:dyDescent="0.25">
      <c r="A22" s="52"/>
      <c r="B22" s="265"/>
      <c r="C22" s="265"/>
      <c r="D22" s="265"/>
      <c r="E22" s="265"/>
      <c r="F22" s="265"/>
      <c r="G22" s="266"/>
      <c r="H22" s="285"/>
      <c r="I22" s="61">
        <v>9</v>
      </c>
      <c r="J22" s="61">
        <v>6</v>
      </c>
      <c r="K22" s="61"/>
      <c r="L22" s="61"/>
      <c r="M22" s="61"/>
      <c r="N22" s="61"/>
      <c r="O22" s="61"/>
      <c r="P22" s="61"/>
      <c r="Q22" s="61"/>
      <c r="R22" s="61"/>
      <c r="S22" s="61">
        <v>3</v>
      </c>
      <c r="T22" s="268">
        <f t="shared" si="1"/>
        <v>9</v>
      </c>
      <c r="U22" s="183">
        <f t="shared" si="0"/>
        <v>7.1090047393364926E-3</v>
      </c>
      <c r="V22" s="269" t="s">
        <v>3</v>
      </c>
      <c r="W22" s="271"/>
    </row>
    <row r="23" spans="1:23" x14ac:dyDescent="0.25">
      <c r="A23" s="52"/>
      <c r="B23" s="265"/>
      <c r="C23" s="265"/>
      <c r="D23" s="265"/>
      <c r="E23" s="265"/>
      <c r="F23" s="265"/>
      <c r="G23" s="266"/>
      <c r="H23" s="285"/>
      <c r="I23" s="61">
        <v>16</v>
      </c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268">
        <f t="shared" si="1"/>
        <v>0</v>
      </c>
      <c r="U23" s="183">
        <f t="shared" si="0"/>
        <v>0</v>
      </c>
      <c r="V23" s="269" t="s">
        <v>7</v>
      </c>
      <c r="W23" s="272"/>
    </row>
    <row r="24" spans="1:23" x14ac:dyDescent="0.25">
      <c r="A24" s="52"/>
      <c r="B24" s="265"/>
      <c r="C24" s="265"/>
      <c r="D24" s="265"/>
      <c r="E24" s="265"/>
      <c r="F24" s="265"/>
      <c r="G24" s="266"/>
      <c r="H24" s="285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268">
        <f t="shared" si="1"/>
        <v>0</v>
      </c>
      <c r="U24" s="183">
        <f t="shared" si="0"/>
        <v>0</v>
      </c>
      <c r="V24" s="269" t="s">
        <v>8</v>
      </c>
      <c r="W24" s="272"/>
    </row>
    <row r="25" spans="1:23" x14ac:dyDescent="0.25">
      <c r="A25" s="52"/>
      <c r="B25" s="265"/>
      <c r="C25" s="265"/>
      <c r="D25" s="265"/>
      <c r="E25" s="265"/>
      <c r="F25" s="265"/>
      <c r="G25" s="266"/>
      <c r="H25" s="285"/>
      <c r="I25" s="61">
        <v>1</v>
      </c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268">
        <f t="shared" si="1"/>
        <v>0</v>
      </c>
      <c r="U25" s="183">
        <f t="shared" si="0"/>
        <v>0</v>
      </c>
      <c r="V25" s="269" t="s">
        <v>77</v>
      </c>
      <c r="W25" s="264" t="s">
        <v>232</v>
      </c>
    </row>
    <row r="26" spans="1:23" x14ac:dyDescent="0.25">
      <c r="A26" s="52"/>
      <c r="B26" s="265"/>
      <c r="C26" s="265"/>
      <c r="D26" s="265"/>
      <c r="E26" s="265"/>
      <c r="F26" s="265"/>
      <c r="G26" s="266"/>
      <c r="H26" s="285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268">
        <f t="shared" si="1"/>
        <v>0</v>
      </c>
      <c r="U26" s="183">
        <f t="shared" si="0"/>
        <v>0</v>
      </c>
      <c r="V26" s="269" t="s">
        <v>19</v>
      </c>
      <c r="W26" s="264" t="s">
        <v>234</v>
      </c>
    </row>
    <row r="27" spans="1:23" x14ac:dyDescent="0.25">
      <c r="A27" s="52"/>
      <c r="B27" s="265"/>
      <c r="C27" s="265"/>
      <c r="D27" s="265"/>
      <c r="E27" s="265"/>
      <c r="F27" s="265"/>
      <c r="G27" s="266"/>
      <c r="H27" s="285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268">
        <f t="shared" si="1"/>
        <v>0</v>
      </c>
      <c r="U27" s="183">
        <f t="shared" si="0"/>
        <v>0</v>
      </c>
      <c r="V27" s="269" t="s">
        <v>78</v>
      </c>
      <c r="W27" s="300" t="s">
        <v>233</v>
      </c>
    </row>
    <row r="28" spans="1:23" x14ac:dyDescent="0.25">
      <c r="A28" s="52"/>
      <c r="B28" s="265"/>
      <c r="C28" s="265"/>
      <c r="D28" s="265"/>
      <c r="E28" s="265"/>
      <c r="F28" s="265"/>
      <c r="G28" s="266"/>
      <c r="H28" s="285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268">
        <f t="shared" si="1"/>
        <v>0</v>
      </c>
      <c r="U28" s="183">
        <f t="shared" si="0"/>
        <v>0</v>
      </c>
      <c r="V28" s="269" t="s">
        <v>9</v>
      </c>
      <c r="W28" s="272"/>
    </row>
    <row r="29" spans="1:23" x14ac:dyDescent="0.25">
      <c r="A29" s="52"/>
      <c r="B29" s="265"/>
      <c r="C29" s="265"/>
      <c r="D29" s="265"/>
      <c r="E29" s="265"/>
      <c r="F29" s="265"/>
      <c r="G29" s="266"/>
      <c r="H29" s="285"/>
      <c r="I29" s="61">
        <v>24</v>
      </c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268">
        <f>SUM(H29,J29,L29,N29,P29,R29,S29)</f>
        <v>0</v>
      </c>
      <c r="U29" s="183">
        <f t="shared" si="0"/>
        <v>0</v>
      </c>
      <c r="V29" s="269" t="s">
        <v>12</v>
      </c>
      <c r="W29" s="272"/>
    </row>
    <row r="30" spans="1:23" x14ac:dyDescent="0.25">
      <c r="A30" s="52"/>
      <c r="B30" s="265"/>
      <c r="C30" s="265"/>
      <c r="D30" s="265"/>
      <c r="E30" s="265"/>
      <c r="F30" s="265"/>
      <c r="G30" s="266"/>
      <c r="H30" s="267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268">
        <f>SUM(H30,J30,L30,N30,P30,R30,S30)</f>
        <v>0</v>
      </c>
      <c r="U30" s="183">
        <f t="shared" si="0"/>
        <v>0</v>
      </c>
      <c r="V30" s="269" t="s">
        <v>92</v>
      </c>
      <c r="W30" s="271"/>
    </row>
    <row r="31" spans="1:23" x14ac:dyDescent="0.25">
      <c r="A31" s="52"/>
      <c r="B31" s="265"/>
      <c r="C31" s="265"/>
      <c r="D31" s="265"/>
      <c r="E31" s="265"/>
      <c r="F31" s="265"/>
      <c r="G31" s="266"/>
      <c r="H31" s="267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>
        <v>2</v>
      </c>
      <c r="T31" s="268">
        <f>SUM(H31,J31,L31,N31,P31,R31,S31)</f>
        <v>2</v>
      </c>
      <c r="U31" s="183">
        <f t="shared" si="0"/>
        <v>1.5797788309636651E-3</v>
      </c>
      <c r="V31" s="269" t="s">
        <v>9</v>
      </c>
      <c r="W31" s="271"/>
    </row>
    <row r="32" spans="1:23" x14ac:dyDescent="0.25">
      <c r="A32" s="52"/>
      <c r="B32" s="265"/>
      <c r="C32" s="265"/>
      <c r="D32" s="265"/>
      <c r="E32" s="265"/>
      <c r="F32" s="265"/>
      <c r="G32" s="266"/>
      <c r="H32" s="267"/>
      <c r="I32" s="61">
        <v>1</v>
      </c>
      <c r="J32" s="61"/>
      <c r="K32" s="61"/>
      <c r="L32" s="61"/>
      <c r="M32" s="61"/>
      <c r="N32" s="61"/>
      <c r="O32" s="61"/>
      <c r="P32" s="61"/>
      <c r="Q32" s="61"/>
      <c r="R32" s="61">
        <v>1</v>
      </c>
      <c r="S32" s="61"/>
      <c r="T32" s="268">
        <f>SUM(H32,J32,L32,N32,P32,R32,S32)</f>
        <v>1</v>
      </c>
      <c r="U32" s="183">
        <f t="shared" si="0"/>
        <v>7.8988941548183253E-4</v>
      </c>
      <c r="V32" s="269" t="s">
        <v>80</v>
      </c>
      <c r="W32" s="272"/>
    </row>
    <row r="33" spans="1:23" ht="15.75" thickBot="1" x14ac:dyDescent="0.3">
      <c r="A33" s="52"/>
      <c r="B33" s="265"/>
      <c r="C33" s="265"/>
      <c r="D33" s="265"/>
      <c r="E33" s="265"/>
      <c r="F33" s="265"/>
      <c r="G33" s="266"/>
      <c r="H33" s="273"/>
      <c r="I33" s="66">
        <v>6</v>
      </c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268">
        <f>SUM(H33,J33,L33,N33,P33,R33,S33)</f>
        <v>0</v>
      </c>
      <c r="U33" s="183">
        <f t="shared" si="0"/>
        <v>0</v>
      </c>
      <c r="V33" s="275" t="s">
        <v>94</v>
      </c>
      <c r="W33" s="264"/>
    </row>
    <row r="34" spans="1:23" ht="15.75" thickBot="1" x14ac:dyDescent="0.3">
      <c r="A34" s="52"/>
      <c r="B34" s="265"/>
      <c r="C34" s="265"/>
      <c r="D34" s="265"/>
      <c r="E34" s="265"/>
      <c r="F34" s="265"/>
      <c r="G34" s="266"/>
      <c r="H34" s="261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6"/>
      <c r="U34" s="166"/>
      <c r="V34" s="310" t="s">
        <v>81</v>
      </c>
      <c r="W34" s="354"/>
    </row>
    <row r="35" spans="1:23" x14ac:dyDescent="0.25">
      <c r="A35" s="52"/>
      <c r="B35" s="265"/>
      <c r="C35" s="265"/>
      <c r="D35" s="265"/>
      <c r="E35" s="265"/>
      <c r="F35" s="265"/>
      <c r="G35" s="56"/>
      <c r="H35" s="262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286">
        <f t="shared" ref="T35:T42" si="2">SUM(H35,J35,L35,N35,P35,R35,S35)</f>
        <v>0</v>
      </c>
      <c r="U35" s="183">
        <f t="shared" si="0"/>
        <v>0</v>
      </c>
      <c r="V35" s="113" t="s">
        <v>83</v>
      </c>
      <c r="W35" s="354" t="s">
        <v>221</v>
      </c>
    </row>
    <row r="36" spans="1:23" x14ac:dyDescent="0.25">
      <c r="A36" s="52"/>
      <c r="B36" s="265"/>
      <c r="C36" s="265"/>
      <c r="D36" s="265"/>
      <c r="E36" s="265"/>
      <c r="F36" s="265"/>
      <c r="G36" s="56"/>
      <c r="H36" s="267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268">
        <f t="shared" si="2"/>
        <v>0</v>
      </c>
      <c r="U36" s="183">
        <f t="shared" si="0"/>
        <v>0</v>
      </c>
      <c r="V36" s="269" t="s">
        <v>71</v>
      </c>
      <c r="W36" s="356" t="s">
        <v>207</v>
      </c>
    </row>
    <row r="37" spans="1:23" x14ac:dyDescent="0.25">
      <c r="A37" s="52"/>
      <c r="B37" s="265"/>
      <c r="C37" s="265"/>
      <c r="D37" s="265"/>
      <c r="E37" s="265"/>
      <c r="F37" s="265"/>
      <c r="G37" s="56"/>
      <c r="H37" s="267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268">
        <f t="shared" si="2"/>
        <v>0</v>
      </c>
      <c r="U37" s="183">
        <f t="shared" si="0"/>
        <v>0</v>
      </c>
      <c r="V37" s="269" t="s">
        <v>175</v>
      </c>
      <c r="W37" s="356" t="s">
        <v>231</v>
      </c>
    </row>
    <row r="38" spans="1:23" x14ac:dyDescent="0.25">
      <c r="A38" s="52"/>
      <c r="B38" s="265"/>
      <c r="C38" s="265"/>
      <c r="D38" s="265"/>
      <c r="E38" s="265"/>
      <c r="F38" s="265"/>
      <c r="G38" s="56"/>
      <c r="H38" s="267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268">
        <f t="shared" si="2"/>
        <v>0</v>
      </c>
      <c r="U38" s="183">
        <f t="shared" si="0"/>
        <v>0</v>
      </c>
      <c r="V38" s="269" t="s">
        <v>12</v>
      </c>
      <c r="W38" s="354" t="s">
        <v>204</v>
      </c>
    </row>
    <row r="39" spans="1:23" x14ac:dyDescent="0.25">
      <c r="A39" s="52"/>
      <c r="B39" s="265"/>
      <c r="C39" s="265"/>
      <c r="D39" s="265"/>
      <c r="E39" s="265"/>
      <c r="F39" s="265"/>
      <c r="G39" s="56"/>
      <c r="H39" s="267">
        <v>1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268">
        <f t="shared" si="2"/>
        <v>1</v>
      </c>
      <c r="U39" s="183">
        <f t="shared" si="0"/>
        <v>7.8988941548183253E-4</v>
      </c>
      <c r="V39" s="148" t="s">
        <v>35</v>
      </c>
      <c r="W39" s="354" t="s">
        <v>235</v>
      </c>
    </row>
    <row r="40" spans="1:23" x14ac:dyDescent="0.25">
      <c r="A40" s="52"/>
      <c r="B40" s="265"/>
      <c r="C40" s="265"/>
      <c r="D40" s="265"/>
      <c r="E40" s="265"/>
      <c r="F40" s="265"/>
      <c r="G40" s="56"/>
      <c r="H40" s="267">
        <v>1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268">
        <f t="shared" si="2"/>
        <v>1</v>
      </c>
      <c r="U40" s="183">
        <f t="shared" si="0"/>
        <v>7.8988941548183253E-4</v>
      </c>
      <c r="V40" s="148" t="s">
        <v>156</v>
      </c>
      <c r="W40" s="354"/>
    </row>
    <row r="41" spans="1:23" x14ac:dyDescent="0.25">
      <c r="A41" s="52"/>
      <c r="B41" s="265"/>
      <c r="C41" s="265"/>
      <c r="D41" s="265"/>
      <c r="E41" s="265"/>
      <c r="F41" s="265"/>
      <c r="G41" s="56"/>
      <c r="H41" s="273">
        <v>1</v>
      </c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268">
        <f t="shared" si="2"/>
        <v>1</v>
      </c>
      <c r="U41" s="183">
        <f t="shared" si="0"/>
        <v>7.8988941548183253E-4</v>
      </c>
      <c r="V41" s="335" t="s">
        <v>230</v>
      </c>
      <c r="W41" s="354"/>
    </row>
    <row r="42" spans="1:23" ht="15.75" thickBot="1" x14ac:dyDescent="0.3">
      <c r="A42" s="155"/>
      <c r="B42" s="156"/>
      <c r="C42" s="156"/>
      <c r="D42" s="156"/>
      <c r="E42" s="156"/>
      <c r="F42" s="156"/>
      <c r="G42" s="163"/>
      <c r="H42" s="273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274">
        <f t="shared" si="2"/>
        <v>0</v>
      </c>
      <c r="U42" s="183">
        <f t="shared" si="0"/>
        <v>0</v>
      </c>
      <c r="V42" s="287" t="s">
        <v>148</v>
      </c>
      <c r="W42" s="302"/>
    </row>
    <row r="43" spans="1:23" ht="15.75" thickBot="1" x14ac:dyDescent="0.3">
      <c r="G43" s="47" t="s">
        <v>4</v>
      </c>
      <c r="H43" s="57">
        <f t="shared" ref="H43:S43" si="3">SUM(H3:H42)</f>
        <v>114</v>
      </c>
      <c r="I43" s="57">
        <f t="shared" si="3"/>
        <v>61</v>
      </c>
      <c r="J43" s="57">
        <f t="shared" si="3"/>
        <v>22</v>
      </c>
      <c r="K43" s="57">
        <f t="shared" si="3"/>
        <v>0</v>
      </c>
      <c r="L43" s="57">
        <f t="shared" si="3"/>
        <v>0</v>
      </c>
      <c r="M43" s="57">
        <f t="shared" si="3"/>
        <v>0</v>
      </c>
      <c r="N43" s="57">
        <f t="shared" si="3"/>
        <v>0</v>
      </c>
      <c r="O43" s="57">
        <f t="shared" si="3"/>
        <v>0</v>
      </c>
      <c r="P43" s="57">
        <f t="shared" si="3"/>
        <v>0</v>
      </c>
      <c r="Q43" s="57">
        <f t="shared" si="3"/>
        <v>0</v>
      </c>
      <c r="R43" s="57">
        <f t="shared" si="3"/>
        <v>1</v>
      </c>
      <c r="S43" s="57">
        <f t="shared" si="3"/>
        <v>22</v>
      </c>
      <c r="T43" s="288">
        <f>SUM(H43,J43,L43,N43,P43,R43,S43)</f>
        <v>159</v>
      </c>
      <c r="U43" s="333">
        <f t="shared" si="0"/>
        <v>0.12559241706161137</v>
      </c>
      <c r="V43" s="11"/>
      <c r="W43" s="7"/>
    </row>
    <row r="45" spans="1:23" ht="15.75" thickBot="1" x14ac:dyDescent="0.3"/>
    <row r="46" spans="1:23" ht="75.75" thickBot="1" x14ac:dyDescent="0.3">
      <c r="A46" s="43" t="s">
        <v>22</v>
      </c>
      <c r="B46" s="43" t="s">
        <v>47</v>
      </c>
      <c r="C46" s="43" t="s">
        <v>52</v>
      </c>
      <c r="D46" s="43" t="s">
        <v>17</v>
      </c>
      <c r="E46" s="42" t="s">
        <v>16</v>
      </c>
      <c r="F46" s="44" t="s">
        <v>1</v>
      </c>
      <c r="G46" s="45" t="s">
        <v>23</v>
      </c>
      <c r="H46" s="46" t="s">
        <v>72</v>
      </c>
      <c r="I46" s="46" t="s">
        <v>73</v>
      </c>
      <c r="J46" s="46" t="s">
        <v>53</v>
      </c>
      <c r="K46" s="46" t="s">
        <v>58</v>
      </c>
      <c r="L46" s="46" t="s">
        <v>54</v>
      </c>
      <c r="M46" s="46" t="s">
        <v>59</v>
      </c>
      <c r="N46" s="46" t="s">
        <v>55</v>
      </c>
      <c r="O46" s="46" t="s">
        <v>60</v>
      </c>
      <c r="P46" s="46" t="s">
        <v>56</v>
      </c>
      <c r="Q46" s="46" t="s">
        <v>74</v>
      </c>
      <c r="R46" s="46" t="s">
        <v>115</v>
      </c>
      <c r="S46" s="46" t="s">
        <v>41</v>
      </c>
      <c r="T46" s="46" t="s">
        <v>4</v>
      </c>
      <c r="U46" s="42" t="s">
        <v>2</v>
      </c>
      <c r="V46" s="80" t="s">
        <v>20</v>
      </c>
      <c r="W46" s="81" t="s">
        <v>6</v>
      </c>
    </row>
    <row r="47" spans="1:23" ht="15.75" thickBot="1" x14ac:dyDescent="0.3">
      <c r="A47" s="73">
        <v>1514191</v>
      </c>
      <c r="B47" s="73" t="s">
        <v>178</v>
      </c>
      <c r="C47" s="317">
        <v>1152</v>
      </c>
      <c r="D47" s="317">
        <v>1229</v>
      </c>
      <c r="E47" s="317">
        <v>1102</v>
      </c>
      <c r="F47" s="318">
        <f>E47/D47</f>
        <v>0.89666395443449964</v>
      </c>
      <c r="G47" s="48">
        <v>45301</v>
      </c>
      <c r="H47" s="261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85"/>
      <c r="U47" s="166"/>
      <c r="V47" s="86" t="s">
        <v>75</v>
      </c>
      <c r="W47" s="39" t="s">
        <v>119</v>
      </c>
    </row>
    <row r="48" spans="1:23" x14ac:dyDescent="0.25">
      <c r="A48" s="49"/>
      <c r="B48" s="50"/>
      <c r="C48" s="50"/>
      <c r="D48" s="50"/>
      <c r="E48" s="50"/>
      <c r="F48" s="50"/>
      <c r="G48" s="51"/>
      <c r="H48" s="262">
        <v>10</v>
      </c>
      <c r="I48" s="339"/>
      <c r="J48" s="59"/>
      <c r="K48" s="59"/>
      <c r="L48" s="59"/>
      <c r="M48" s="59"/>
      <c r="N48" s="59"/>
      <c r="O48" s="59"/>
      <c r="P48" s="59"/>
      <c r="Q48" s="59"/>
      <c r="R48" s="59"/>
      <c r="S48" s="59">
        <v>11</v>
      </c>
      <c r="T48" s="347">
        <f>SUM(H48,J48,L48,N48,P48,R48,S48)</f>
        <v>21</v>
      </c>
      <c r="U48" s="183">
        <f>($T48)/$D$47</f>
        <v>1.7087062652563059E-2</v>
      </c>
      <c r="V48" s="263" t="s">
        <v>15</v>
      </c>
      <c r="W48" s="270" t="s">
        <v>120</v>
      </c>
    </row>
    <row r="49" spans="1:23" x14ac:dyDescent="0.25">
      <c r="A49" s="52"/>
      <c r="B49" s="53"/>
      <c r="C49" s="53"/>
      <c r="D49" s="53"/>
      <c r="E49" s="53"/>
      <c r="F49" s="53"/>
      <c r="G49" s="54"/>
      <c r="H49" s="297">
        <v>2</v>
      </c>
      <c r="I49" s="345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346">
        <f>SUM(H49,J49,L49,N49,P49,R49,S49)</f>
        <v>2</v>
      </c>
      <c r="U49" s="183">
        <f>($T49)/$D$47</f>
        <v>1.6273393002441008E-3</v>
      </c>
      <c r="V49" s="284" t="s">
        <v>43</v>
      </c>
      <c r="W49" s="270" t="s">
        <v>332</v>
      </c>
    </row>
    <row r="50" spans="1:23" x14ac:dyDescent="0.25">
      <c r="A50" s="52"/>
      <c r="B50" s="265"/>
      <c r="C50" s="265"/>
      <c r="D50" s="265"/>
      <c r="E50" s="265"/>
      <c r="F50" s="265"/>
      <c r="G50" s="266"/>
      <c r="H50" s="267">
        <v>30</v>
      </c>
      <c r="I50" s="340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268">
        <f t="shared" ref="T50:T73" si="4">SUM(H50,J50,L50,N50,P50,R50,S50)</f>
        <v>30</v>
      </c>
      <c r="U50" s="183">
        <f t="shared" ref="U50:U63" si="5">($T50)/$D$47</f>
        <v>2.4410089503661515E-2</v>
      </c>
      <c r="V50" s="269" t="s">
        <v>5</v>
      </c>
      <c r="W50" s="311"/>
    </row>
    <row r="51" spans="1:23" x14ac:dyDescent="0.25">
      <c r="A51" s="52"/>
      <c r="B51" s="265"/>
      <c r="C51" s="265"/>
      <c r="D51" s="265"/>
      <c r="E51" s="265"/>
      <c r="F51" s="265"/>
      <c r="G51" s="266"/>
      <c r="H51" s="267">
        <v>9</v>
      </c>
      <c r="I51" s="340"/>
      <c r="J51" s="61"/>
      <c r="K51" s="61"/>
      <c r="L51" s="61"/>
      <c r="M51" s="61"/>
      <c r="N51" s="61"/>
      <c r="O51" s="61"/>
      <c r="P51" s="61"/>
      <c r="Q51" s="61"/>
      <c r="R51" s="61"/>
      <c r="S51" s="61">
        <v>1</v>
      </c>
      <c r="T51" s="268">
        <f t="shared" si="4"/>
        <v>10</v>
      </c>
      <c r="U51" s="183">
        <f t="shared" si="5"/>
        <v>8.1366965012205049E-3</v>
      </c>
      <c r="V51" s="269" t="s">
        <v>13</v>
      </c>
      <c r="W51" s="311"/>
    </row>
    <row r="52" spans="1:23" x14ac:dyDescent="0.25">
      <c r="A52" s="52"/>
      <c r="B52" s="265"/>
      <c r="C52" s="265"/>
      <c r="D52" s="265"/>
      <c r="E52" s="265"/>
      <c r="F52" s="265"/>
      <c r="G52" s="266"/>
      <c r="H52" s="267">
        <v>2</v>
      </c>
      <c r="I52" s="340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268">
        <f t="shared" si="4"/>
        <v>2</v>
      </c>
      <c r="U52" s="183">
        <f t="shared" si="5"/>
        <v>1.6273393002441008E-3</v>
      </c>
      <c r="V52" s="269" t="s">
        <v>14</v>
      </c>
      <c r="W52" s="271"/>
    </row>
    <row r="53" spans="1:23" x14ac:dyDescent="0.25">
      <c r="A53" s="52"/>
      <c r="B53" s="265"/>
      <c r="C53" s="265"/>
      <c r="D53" s="265"/>
      <c r="E53" s="265"/>
      <c r="F53" s="265"/>
      <c r="G53" s="266"/>
      <c r="H53" s="267">
        <v>4</v>
      </c>
      <c r="I53" s="340"/>
      <c r="J53" s="61">
        <v>1</v>
      </c>
      <c r="K53" s="61"/>
      <c r="L53" s="61"/>
      <c r="M53" s="61"/>
      <c r="N53" s="61"/>
      <c r="O53" s="61"/>
      <c r="P53" s="61"/>
      <c r="Q53" s="61"/>
      <c r="R53" s="61"/>
      <c r="S53" s="61">
        <v>5</v>
      </c>
      <c r="T53" s="268">
        <f t="shared" si="4"/>
        <v>10</v>
      </c>
      <c r="U53" s="183">
        <f t="shared" si="5"/>
        <v>8.1366965012205049E-3</v>
      </c>
      <c r="V53" s="269" t="s">
        <v>30</v>
      </c>
      <c r="W53" s="271"/>
    </row>
    <row r="54" spans="1:23" x14ac:dyDescent="0.25">
      <c r="A54" s="52"/>
      <c r="B54" s="265"/>
      <c r="C54" s="265"/>
      <c r="D54" s="265"/>
      <c r="E54" s="265"/>
      <c r="F54" s="265"/>
      <c r="G54" s="266"/>
      <c r="H54" s="267"/>
      <c r="I54" s="340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268">
        <f t="shared" si="4"/>
        <v>0</v>
      </c>
      <c r="U54" s="183">
        <f t="shared" si="5"/>
        <v>0</v>
      </c>
      <c r="V54" s="269" t="s">
        <v>31</v>
      </c>
      <c r="W54" s="271"/>
    </row>
    <row r="55" spans="1:23" x14ac:dyDescent="0.25">
      <c r="A55" s="52"/>
      <c r="B55" s="265"/>
      <c r="C55" s="265"/>
      <c r="D55" s="265"/>
      <c r="E55" s="265"/>
      <c r="F55" s="265"/>
      <c r="G55" s="266"/>
      <c r="H55" s="267"/>
      <c r="I55" s="340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268">
        <f t="shared" si="4"/>
        <v>0</v>
      </c>
      <c r="U55" s="183">
        <f t="shared" si="5"/>
        <v>0</v>
      </c>
      <c r="V55" s="269" t="s">
        <v>166</v>
      </c>
      <c r="W55" s="271"/>
    </row>
    <row r="56" spans="1:23" x14ac:dyDescent="0.25">
      <c r="A56" s="52"/>
      <c r="B56" s="265"/>
      <c r="C56" s="265"/>
      <c r="D56" s="265"/>
      <c r="E56" s="265"/>
      <c r="F56" s="265" t="s">
        <v>100</v>
      </c>
      <c r="G56" s="266"/>
      <c r="H56" s="267"/>
      <c r="I56" s="340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268">
        <f t="shared" si="4"/>
        <v>0</v>
      </c>
      <c r="U56" s="183">
        <f t="shared" si="5"/>
        <v>0</v>
      </c>
      <c r="V56" s="269" t="s">
        <v>29</v>
      </c>
      <c r="W56" s="271"/>
    </row>
    <row r="57" spans="1:23" x14ac:dyDescent="0.25">
      <c r="A57" s="52"/>
      <c r="B57" s="265"/>
      <c r="C57" s="265"/>
      <c r="D57" s="265"/>
      <c r="E57" s="265"/>
      <c r="F57" s="265"/>
      <c r="G57" s="266"/>
      <c r="H57" s="267"/>
      <c r="I57" s="340"/>
      <c r="J57" s="61"/>
      <c r="K57" s="61"/>
      <c r="L57" s="61"/>
      <c r="M57" s="61"/>
      <c r="N57" s="61"/>
      <c r="O57" s="61"/>
      <c r="P57" s="61"/>
      <c r="Q57" s="61"/>
      <c r="R57" s="61"/>
      <c r="S57" s="61">
        <v>1</v>
      </c>
      <c r="T57" s="268">
        <f t="shared" si="4"/>
        <v>1</v>
      </c>
      <c r="U57" s="183">
        <f t="shared" si="5"/>
        <v>8.1366965012205042E-4</v>
      </c>
      <c r="V57" s="269" t="s">
        <v>0</v>
      </c>
      <c r="W57" s="272"/>
    </row>
    <row r="58" spans="1:23" x14ac:dyDescent="0.25">
      <c r="A58" s="52"/>
      <c r="B58" s="265"/>
      <c r="C58" s="265"/>
      <c r="D58" s="265"/>
      <c r="E58" s="265"/>
      <c r="F58" s="265"/>
      <c r="G58" s="266"/>
      <c r="H58" s="267">
        <v>3</v>
      </c>
      <c r="I58" s="340"/>
      <c r="J58" s="61">
        <v>1</v>
      </c>
      <c r="K58" s="61"/>
      <c r="L58" s="61"/>
      <c r="M58" s="61"/>
      <c r="N58" s="61"/>
      <c r="O58" s="61"/>
      <c r="P58" s="61"/>
      <c r="Q58" s="61"/>
      <c r="R58" s="61"/>
      <c r="S58" s="61">
        <v>2</v>
      </c>
      <c r="T58" s="268">
        <f t="shared" si="4"/>
        <v>6</v>
      </c>
      <c r="U58" s="183">
        <f t="shared" si="5"/>
        <v>4.8820179007323028E-3</v>
      </c>
      <c r="V58" s="269" t="s">
        <v>11</v>
      </c>
      <c r="W58" s="272"/>
    </row>
    <row r="59" spans="1:23" x14ac:dyDescent="0.25">
      <c r="A59" s="52"/>
      <c r="B59" s="265"/>
      <c r="C59" s="265"/>
      <c r="D59" s="265"/>
      <c r="E59" s="265"/>
      <c r="F59" s="265"/>
      <c r="G59" s="266"/>
      <c r="H59" s="267">
        <v>2</v>
      </c>
      <c r="I59" s="340"/>
      <c r="J59" s="61"/>
      <c r="K59" s="61"/>
      <c r="L59" s="61"/>
      <c r="M59" s="61"/>
      <c r="N59" s="61"/>
      <c r="O59" s="61"/>
      <c r="P59" s="61"/>
      <c r="Q59" s="61"/>
      <c r="R59" s="61">
        <v>1</v>
      </c>
      <c r="S59" s="61"/>
      <c r="T59" s="268">
        <f t="shared" si="4"/>
        <v>3</v>
      </c>
      <c r="U59" s="183">
        <f t="shared" si="5"/>
        <v>2.4410089503661514E-3</v>
      </c>
      <c r="V59" s="269" t="s">
        <v>33</v>
      </c>
      <c r="W59" s="272"/>
    </row>
    <row r="60" spans="1:23" x14ac:dyDescent="0.25">
      <c r="A60" s="52"/>
      <c r="B60" s="265"/>
      <c r="C60" s="265"/>
      <c r="D60" s="265"/>
      <c r="E60" s="265"/>
      <c r="F60" s="265"/>
      <c r="G60" s="266"/>
      <c r="H60" s="273">
        <v>1</v>
      </c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274">
        <f t="shared" si="4"/>
        <v>1</v>
      </c>
      <c r="U60" s="183">
        <f t="shared" si="5"/>
        <v>8.1366965012205042E-4</v>
      </c>
      <c r="V60" s="148" t="s">
        <v>156</v>
      </c>
      <c r="W60" s="272"/>
    </row>
    <row r="61" spans="1:23" x14ac:dyDescent="0.25">
      <c r="A61" s="52"/>
      <c r="B61" s="265"/>
      <c r="C61" s="265"/>
      <c r="D61" s="265"/>
      <c r="E61" s="265"/>
      <c r="F61" s="265"/>
      <c r="G61" s="56"/>
      <c r="H61" s="276"/>
      <c r="I61" s="61"/>
      <c r="J61" s="66"/>
      <c r="K61" s="61"/>
      <c r="L61" s="61"/>
      <c r="M61" s="61"/>
      <c r="N61" s="61"/>
      <c r="O61" s="61"/>
      <c r="P61" s="61"/>
      <c r="Q61" s="61"/>
      <c r="R61" s="61"/>
      <c r="S61" s="61"/>
      <c r="T61" s="268">
        <f t="shared" si="4"/>
        <v>0</v>
      </c>
      <c r="U61" s="183">
        <f t="shared" si="5"/>
        <v>0</v>
      </c>
      <c r="V61" s="334" t="s">
        <v>85</v>
      </c>
      <c r="W61" s="277"/>
    </row>
    <row r="62" spans="1:23" x14ac:dyDescent="0.25">
      <c r="A62" s="52"/>
      <c r="B62" s="265"/>
      <c r="C62" s="265"/>
      <c r="D62" s="265"/>
      <c r="E62" s="265"/>
      <c r="F62" s="265"/>
      <c r="G62" s="56"/>
      <c r="H62" s="278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268">
        <f t="shared" si="4"/>
        <v>0</v>
      </c>
      <c r="U62" s="183">
        <f t="shared" si="5"/>
        <v>0</v>
      </c>
      <c r="V62" s="188" t="s">
        <v>165</v>
      </c>
      <c r="W62" s="264"/>
    </row>
    <row r="63" spans="1:23" x14ac:dyDescent="0.25">
      <c r="A63" s="52"/>
      <c r="B63" s="265"/>
      <c r="C63" s="265"/>
      <c r="D63" s="265"/>
      <c r="E63" s="265"/>
      <c r="F63" s="265"/>
      <c r="G63" s="266"/>
      <c r="H63" s="267"/>
      <c r="I63" s="276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268">
        <f t="shared" si="4"/>
        <v>0</v>
      </c>
      <c r="U63" s="183">
        <f t="shared" si="5"/>
        <v>0</v>
      </c>
      <c r="V63" s="269" t="s">
        <v>112</v>
      </c>
      <c r="W63" s="264"/>
    </row>
    <row r="64" spans="1:23" ht="15.75" thickBot="1" x14ac:dyDescent="0.3">
      <c r="A64" s="52"/>
      <c r="B64" s="265"/>
      <c r="C64" s="265"/>
      <c r="D64" s="265"/>
      <c r="E64" s="265"/>
      <c r="F64" s="265"/>
      <c r="G64" s="266"/>
      <c r="H64" s="279"/>
      <c r="I64" s="174"/>
      <c r="J64" s="174">
        <v>2</v>
      </c>
      <c r="K64" s="174"/>
      <c r="L64" s="174"/>
      <c r="M64" s="174"/>
      <c r="N64" s="174"/>
      <c r="O64" s="174"/>
      <c r="P64" s="174"/>
      <c r="Q64" s="174"/>
      <c r="R64" s="174"/>
      <c r="S64" s="174"/>
      <c r="T64" s="280">
        <f t="shared" si="4"/>
        <v>2</v>
      </c>
      <c r="U64" s="245">
        <f>($T64)/$D$47</f>
        <v>1.6273393002441008E-3</v>
      </c>
      <c r="V64" s="281" t="s">
        <v>27</v>
      </c>
      <c r="W64" s="282"/>
    </row>
    <row r="65" spans="1:23" x14ac:dyDescent="0.25">
      <c r="A65" s="52"/>
      <c r="B65" s="265"/>
      <c r="C65" s="265" t="s">
        <v>111</v>
      </c>
      <c r="D65" s="265"/>
      <c r="E65" s="265"/>
      <c r="F65" s="265"/>
      <c r="G65" s="266"/>
      <c r="H65" s="283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268">
        <f t="shared" si="4"/>
        <v>0</v>
      </c>
      <c r="U65" s="183">
        <f>($T65)/$D$47</f>
        <v>0</v>
      </c>
      <c r="V65" s="284" t="s">
        <v>10</v>
      </c>
      <c r="W65" s="264"/>
    </row>
    <row r="66" spans="1:23" x14ac:dyDescent="0.25">
      <c r="A66" s="52"/>
      <c r="B66" s="265"/>
      <c r="C66" s="265"/>
      <c r="D66" s="265"/>
      <c r="E66" s="265"/>
      <c r="F66" s="265"/>
      <c r="G66" s="266"/>
      <c r="H66" s="285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268">
        <f t="shared" si="4"/>
        <v>0</v>
      </c>
      <c r="U66" s="183">
        <f>($T66)/$D$47</f>
        <v>0</v>
      </c>
      <c r="V66" s="269" t="s">
        <v>28</v>
      </c>
      <c r="W66" s="264"/>
    </row>
    <row r="67" spans="1:23" x14ac:dyDescent="0.25">
      <c r="A67" s="52"/>
      <c r="B67" s="265"/>
      <c r="C67" s="265"/>
      <c r="D67" s="265"/>
      <c r="E67" s="265"/>
      <c r="F67" s="265"/>
      <c r="G67" s="266"/>
      <c r="H67" s="285"/>
      <c r="I67" s="61">
        <v>8</v>
      </c>
      <c r="J67" s="61">
        <v>2</v>
      </c>
      <c r="K67" s="61"/>
      <c r="L67" s="61"/>
      <c r="M67" s="61"/>
      <c r="N67" s="61"/>
      <c r="O67" s="61"/>
      <c r="P67" s="61"/>
      <c r="Q67" s="61"/>
      <c r="R67" s="61"/>
      <c r="S67" s="61">
        <v>2</v>
      </c>
      <c r="T67" s="268">
        <f t="shared" si="4"/>
        <v>4</v>
      </c>
      <c r="U67" s="183">
        <f t="shared" ref="U67:U77" si="6">($T67)/$D$47</f>
        <v>3.2546786004882017E-3</v>
      </c>
      <c r="V67" s="269" t="s">
        <v>3</v>
      </c>
      <c r="W67" s="271"/>
    </row>
    <row r="68" spans="1:23" x14ac:dyDescent="0.25">
      <c r="A68" s="52"/>
      <c r="B68" s="265"/>
      <c r="C68" s="265"/>
      <c r="D68" s="265"/>
      <c r="E68" s="265"/>
      <c r="F68" s="265"/>
      <c r="G68" s="266"/>
      <c r="H68" s="285"/>
      <c r="I68" s="61">
        <v>3</v>
      </c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268">
        <f t="shared" si="4"/>
        <v>0</v>
      </c>
      <c r="U68" s="183">
        <f t="shared" si="6"/>
        <v>0</v>
      </c>
      <c r="V68" s="269" t="s">
        <v>7</v>
      </c>
      <c r="W68" s="272"/>
    </row>
    <row r="69" spans="1:23" x14ac:dyDescent="0.25">
      <c r="A69" s="52"/>
      <c r="B69" s="265"/>
      <c r="C69" s="265"/>
      <c r="D69" s="265"/>
      <c r="E69" s="265"/>
      <c r="F69" s="265"/>
      <c r="G69" s="266"/>
      <c r="H69" s="285"/>
      <c r="I69" s="61">
        <v>41</v>
      </c>
      <c r="J69" s="61">
        <v>13</v>
      </c>
      <c r="K69" s="61"/>
      <c r="L69" s="61"/>
      <c r="M69" s="61"/>
      <c r="N69" s="61"/>
      <c r="O69" s="61"/>
      <c r="P69" s="61"/>
      <c r="Q69" s="61"/>
      <c r="R69" s="61"/>
      <c r="S69" s="61"/>
      <c r="T69" s="268">
        <f t="shared" si="4"/>
        <v>13</v>
      </c>
      <c r="U69" s="183">
        <f t="shared" si="6"/>
        <v>1.0577705451586655E-2</v>
      </c>
      <c r="V69" s="269" t="s">
        <v>8</v>
      </c>
      <c r="W69" s="272"/>
    </row>
    <row r="70" spans="1:23" x14ac:dyDescent="0.25">
      <c r="A70" s="52"/>
      <c r="B70" s="265"/>
      <c r="C70" s="265"/>
      <c r="D70" s="265"/>
      <c r="E70" s="265"/>
      <c r="F70" s="265"/>
      <c r="G70" s="266"/>
      <c r="H70" s="285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268">
        <f t="shared" si="4"/>
        <v>0</v>
      </c>
      <c r="U70" s="183">
        <f t="shared" si="6"/>
        <v>0</v>
      </c>
      <c r="V70" s="269" t="s">
        <v>77</v>
      </c>
      <c r="W70" s="264" t="s">
        <v>334</v>
      </c>
    </row>
    <row r="71" spans="1:23" x14ac:dyDescent="0.25">
      <c r="A71" s="52"/>
      <c r="B71" s="265"/>
      <c r="C71" s="265"/>
      <c r="D71" s="265"/>
      <c r="E71" s="265"/>
      <c r="F71" s="265"/>
      <c r="G71" s="266"/>
      <c r="H71" s="285"/>
      <c r="I71" s="61">
        <v>3</v>
      </c>
      <c r="J71" s="61">
        <v>1</v>
      </c>
      <c r="K71" s="61"/>
      <c r="L71" s="61"/>
      <c r="M71" s="61"/>
      <c r="N71" s="61"/>
      <c r="O71" s="61"/>
      <c r="P71" s="61"/>
      <c r="Q71" s="61"/>
      <c r="R71" s="61"/>
      <c r="S71" s="61">
        <v>1</v>
      </c>
      <c r="T71" s="268">
        <f t="shared" si="4"/>
        <v>2</v>
      </c>
      <c r="U71" s="183">
        <f t="shared" si="6"/>
        <v>1.6273393002441008E-3</v>
      </c>
      <c r="V71" s="269" t="s">
        <v>19</v>
      </c>
      <c r="W71" s="264" t="s">
        <v>336</v>
      </c>
    </row>
    <row r="72" spans="1:23" x14ac:dyDescent="0.25">
      <c r="A72" s="52"/>
      <c r="B72" s="265"/>
      <c r="C72" s="265"/>
      <c r="D72" s="265"/>
      <c r="E72" s="265"/>
      <c r="F72" s="265"/>
      <c r="G72" s="266"/>
      <c r="H72" s="285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268">
        <f t="shared" si="4"/>
        <v>0</v>
      </c>
      <c r="U72" s="183">
        <f t="shared" si="6"/>
        <v>0</v>
      </c>
      <c r="V72" s="269" t="s">
        <v>78</v>
      </c>
      <c r="W72" s="300" t="s">
        <v>335</v>
      </c>
    </row>
    <row r="73" spans="1:23" x14ac:dyDescent="0.25">
      <c r="A73" s="52"/>
      <c r="B73" s="265"/>
      <c r="C73" s="265"/>
      <c r="D73" s="265"/>
      <c r="E73" s="265"/>
      <c r="F73" s="265"/>
      <c r="G73" s="266"/>
      <c r="H73" s="285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268">
        <f t="shared" si="4"/>
        <v>0</v>
      </c>
      <c r="U73" s="183">
        <f t="shared" si="6"/>
        <v>0</v>
      </c>
      <c r="V73" s="269" t="s">
        <v>9</v>
      </c>
      <c r="W73" s="272"/>
    </row>
    <row r="74" spans="1:23" x14ac:dyDescent="0.25">
      <c r="A74" s="52"/>
      <c r="B74" s="265"/>
      <c r="C74" s="265"/>
      <c r="D74" s="265"/>
      <c r="E74" s="265"/>
      <c r="F74" s="265"/>
      <c r="G74" s="266"/>
      <c r="H74" s="285"/>
      <c r="I74" s="61">
        <v>10</v>
      </c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268">
        <f>SUM(H74,J74,L74,N74,P74,R74,S74)</f>
        <v>0</v>
      </c>
      <c r="U74" s="183">
        <f t="shared" si="6"/>
        <v>0</v>
      </c>
      <c r="V74" s="269" t="s">
        <v>12</v>
      </c>
      <c r="W74" s="272"/>
    </row>
    <row r="75" spans="1:23" x14ac:dyDescent="0.25">
      <c r="A75" s="52"/>
      <c r="B75" s="265"/>
      <c r="C75" s="265"/>
      <c r="D75" s="265"/>
      <c r="E75" s="265"/>
      <c r="F75" s="265"/>
      <c r="G75" s="266"/>
      <c r="H75" s="267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268">
        <f>SUM(H75,J75,L75,N75,P75,R75,S75)</f>
        <v>0</v>
      </c>
      <c r="U75" s="183">
        <f t="shared" si="6"/>
        <v>0</v>
      </c>
      <c r="V75" s="269" t="s">
        <v>92</v>
      </c>
      <c r="W75" s="271"/>
    </row>
    <row r="76" spans="1:23" x14ac:dyDescent="0.25">
      <c r="A76" s="52"/>
      <c r="B76" s="265"/>
      <c r="C76" s="265"/>
      <c r="D76" s="265"/>
      <c r="E76" s="265"/>
      <c r="F76" s="265"/>
      <c r="G76" s="266"/>
      <c r="H76" s="267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>
        <v>3</v>
      </c>
      <c r="T76" s="268">
        <f>SUM(H76,J76,L76,N76,P76,R76,S76)</f>
        <v>3</v>
      </c>
      <c r="U76" s="183">
        <f t="shared" si="6"/>
        <v>2.4410089503661514E-3</v>
      </c>
      <c r="V76" s="269" t="s">
        <v>9</v>
      </c>
      <c r="W76" s="271"/>
    </row>
    <row r="77" spans="1:23" x14ac:dyDescent="0.25">
      <c r="A77" s="52"/>
      <c r="B77" s="265"/>
      <c r="C77" s="265"/>
      <c r="D77" s="265"/>
      <c r="E77" s="265"/>
      <c r="F77" s="265"/>
      <c r="G77" s="266"/>
      <c r="H77" s="267"/>
      <c r="I77" s="61">
        <v>2</v>
      </c>
      <c r="J77" s="61">
        <v>1</v>
      </c>
      <c r="K77" s="61"/>
      <c r="L77" s="61"/>
      <c r="M77" s="61"/>
      <c r="N77" s="61"/>
      <c r="O77" s="61"/>
      <c r="P77" s="61"/>
      <c r="Q77" s="61"/>
      <c r="R77" s="61"/>
      <c r="S77" s="61"/>
      <c r="T77" s="268">
        <f>SUM(H77,J77,L77,N77,P77,R77,S77)</f>
        <v>1</v>
      </c>
      <c r="U77" s="183">
        <f t="shared" si="6"/>
        <v>8.1366965012205042E-4</v>
      </c>
      <c r="V77" s="269" t="s">
        <v>80</v>
      </c>
      <c r="W77" s="272"/>
    </row>
    <row r="78" spans="1:23" ht="15.75" thickBot="1" x14ac:dyDescent="0.3">
      <c r="A78" s="52"/>
      <c r="B78" s="265"/>
      <c r="C78" s="265"/>
      <c r="D78" s="265"/>
      <c r="E78" s="265"/>
      <c r="F78" s="265"/>
      <c r="G78" s="266"/>
      <c r="H78" s="273"/>
      <c r="I78" s="66">
        <v>1</v>
      </c>
      <c r="J78" s="66">
        <v>1</v>
      </c>
      <c r="K78" s="66"/>
      <c r="L78" s="66"/>
      <c r="M78" s="66"/>
      <c r="N78" s="66"/>
      <c r="O78" s="66"/>
      <c r="P78" s="66"/>
      <c r="Q78" s="66"/>
      <c r="R78" s="66"/>
      <c r="S78" s="66">
        <v>1</v>
      </c>
      <c r="T78" s="268">
        <f>SUM(H78,J78,L78,N78,P78,R78,S78)</f>
        <v>2</v>
      </c>
      <c r="U78" s="183">
        <f>($T78)/$D$47</f>
        <v>1.6273393002441008E-3</v>
      </c>
      <c r="V78" s="275" t="s">
        <v>94</v>
      </c>
      <c r="W78" s="264"/>
    </row>
    <row r="79" spans="1:23" ht="15.75" thickBot="1" x14ac:dyDescent="0.3">
      <c r="A79" s="52"/>
      <c r="B79" s="265"/>
      <c r="C79" s="265"/>
      <c r="D79" s="265"/>
      <c r="E79" s="265"/>
      <c r="F79" s="265"/>
      <c r="G79" s="266"/>
      <c r="H79" s="261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6"/>
      <c r="U79" s="166"/>
      <c r="V79" s="310" t="s">
        <v>81</v>
      </c>
      <c r="W79" s="354"/>
    </row>
    <row r="80" spans="1:23" x14ac:dyDescent="0.25">
      <c r="A80" s="52"/>
      <c r="B80" s="265"/>
      <c r="C80" s="265"/>
      <c r="D80" s="265"/>
      <c r="E80" s="265"/>
      <c r="F80" s="265"/>
      <c r="G80" s="56"/>
      <c r="H80" s="262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286">
        <f t="shared" ref="T80:T87" si="7">SUM(H80,J80,L80,N80,P80,R80,S80)</f>
        <v>0</v>
      </c>
      <c r="U80" s="183">
        <f>($T80)/$D$47</f>
        <v>0</v>
      </c>
      <c r="V80" s="113" t="s">
        <v>83</v>
      </c>
      <c r="W80" s="354" t="s">
        <v>228</v>
      </c>
    </row>
    <row r="81" spans="1:23" x14ac:dyDescent="0.25">
      <c r="A81" s="52"/>
      <c r="B81" s="265"/>
      <c r="C81" s="265"/>
      <c r="D81" s="265"/>
      <c r="E81" s="265"/>
      <c r="F81" s="265"/>
      <c r="G81" s="56"/>
      <c r="H81" s="267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268">
        <f t="shared" si="7"/>
        <v>0</v>
      </c>
      <c r="U81" s="183">
        <f>($T81)/$D$47</f>
        <v>0</v>
      </c>
      <c r="V81" s="269" t="s">
        <v>71</v>
      </c>
      <c r="W81" s="356" t="s">
        <v>206</v>
      </c>
    </row>
    <row r="82" spans="1:23" x14ac:dyDescent="0.25">
      <c r="A82" s="52"/>
      <c r="B82" s="265"/>
      <c r="C82" s="265"/>
      <c r="D82" s="265"/>
      <c r="E82" s="265"/>
      <c r="F82" s="265"/>
      <c r="G82" s="56"/>
      <c r="H82" s="267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268">
        <f t="shared" si="7"/>
        <v>0</v>
      </c>
      <c r="U82" s="183">
        <f t="shared" ref="U82:U86" si="8">($T82)/$D$47</f>
        <v>0</v>
      </c>
      <c r="V82" s="269" t="s">
        <v>175</v>
      </c>
      <c r="W82" s="356" t="s">
        <v>337</v>
      </c>
    </row>
    <row r="83" spans="1:23" x14ac:dyDescent="0.25">
      <c r="A83" s="52"/>
      <c r="B83" s="265"/>
      <c r="C83" s="265"/>
      <c r="D83" s="265"/>
      <c r="E83" s="265"/>
      <c r="F83" s="265"/>
      <c r="G83" s="56"/>
      <c r="H83" s="267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268">
        <f t="shared" si="7"/>
        <v>0</v>
      </c>
      <c r="U83" s="183">
        <f t="shared" si="8"/>
        <v>0</v>
      </c>
      <c r="V83" s="269" t="s">
        <v>12</v>
      </c>
      <c r="W83" s="354" t="s">
        <v>204</v>
      </c>
    </row>
    <row r="84" spans="1:23" x14ac:dyDescent="0.25">
      <c r="A84" s="52"/>
      <c r="B84" s="265"/>
      <c r="C84" s="265"/>
      <c r="D84" s="265"/>
      <c r="E84" s="265"/>
      <c r="F84" s="265"/>
      <c r="G84" s="56"/>
      <c r="H84" s="267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268">
        <f t="shared" si="7"/>
        <v>0</v>
      </c>
      <c r="U84" s="183">
        <f t="shared" si="8"/>
        <v>0</v>
      </c>
      <c r="V84" s="148" t="s">
        <v>35</v>
      </c>
      <c r="W84" s="354" t="s">
        <v>338</v>
      </c>
    </row>
    <row r="85" spans="1:23" x14ac:dyDescent="0.25">
      <c r="A85" s="52"/>
      <c r="B85" s="265"/>
      <c r="C85" s="265"/>
      <c r="D85" s="265"/>
      <c r="E85" s="265"/>
      <c r="F85" s="265"/>
      <c r="G85" s="56"/>
      <c r="H85" s="267">
        <v>3</v>
      </c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268">
        <f t="shared" si="7"/>
        <v>3</v>
      </c>
      <c r="U85" s="183">
        <f t="shared" si="8"/>
        <v>2.4410089503661514E-3</v>
      </c>
      <c r="V85" s="148" t="s">
        <v>156</v>
      </c>
      <c r="W85" s="354"/>
    </row>
    <row r="86" spans="1:23" x14ac:dyDescent="0.25">
      <c r="A86" s="52"/>
      <c r="B86" s="265"/>
      <c r="C86" s="265"/>
      <c r="D86" s="265"/>
      <c r="E86" s="265"/>
      <c r="F86" s="265"/>
      <c r="G86" s="56"/>
      <c r="H86" s="273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268">
        <f t="shared" si="7"/>
        <v>0</v>
      </c>
      <c r="U86" s="183">
        <f t="shared" si="8"/>
        <v>0</v>
      </c>
      <c r="V86" s="335" t="s">
        <v>230</v>
      </c>
      <c r="W86" s="354"/>
    </row>
    <row r="87" spans="1:23" ht="15.75" thickBot="1" x14ac:dyDescent="0.3">
      <c r="A87" s="155"/>
      <c r="B87" s="156"/>
      <c r="C87" s="156"/>
      <c r="D87" s="156"/>
      <c r="E87" s="156"/>
      <c r="F87" s="156"/>
      <c r="G87" s="163"/>
      <c r="H87" s="273">
        <v>11</v>
      </c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274">
        <f t="shared" si="7"/>
        <v>11</v>
      </c>
      <c r="U87" s="183">
        <f>($T87)/$D$47</f>
        <v>8.9503661513425543E-3</v>
      </c>
      <c r="V87" s="287" t="s">
        <v>148</v>
      </c>
      <c r="W87" s="302"/>
    </row>
    <row r="88" spans="1:23" ht="15.75" thickBot="1" x14ac:dyDescent="0.3">
      <c r="G88" s="47" t="s">
        <v>4</v>
      </c>
      <c r="H88" s="57">
        <f t="shared" ref="H88:S88" si="9">SUM(H48:H87)</f>
        <v>77</v>
      </c>
      <c r="I88" s="57">
        <f t="shared" si="9"/>
        <v>68</v>
      </c>
      <c r="J88" s="57">
        <f t="shared" si="9"/>
        <v>22</v>
      </c>
      <c r="K88" s="57">
        <f t="shared" si="9"/>
        <v>0</v>
      </c>
      <c r="L88" s="57">
        <f t="shared" si="9"/>
        <v>0</v>
      </c>
      <c r="M88" s="57">
        <f t="shared" si="9"/>
        <v>0</v>
      </c>
      <c r="N88" s="57">
        <f t="shared" si="9"/>
        <v>0</v>
      </c>
      <c r="O88" s="57">
        <f t="shared" si="9"/>
        <v>0</v>
      </c>
      <c r="P88" s="57">
        <f t="shared" si="9"/>
        <v>0</v>
      </c>
      <c r="Q88" s="57">
        <f t="shared" si="9"/>
        <v>0</v>
      </c>
      <c r="R88" s="57">
        <f t="shared" si="9"/>
        <v>1</v>
      </c>
      <c r="S88" s="57">
        <f t="shared" si="9"/>
        <v>27</v>
      </c>
      <c r="T88" s="288">
        <f>SUM(H88,J88,L88,N88,P88,R88,S88)</f>
        <v>127</v>
      </c>
      <c r="U88" s="333">
        <f>($T88)/$D$47</f>
        <v>0.10333604556550041</v>
      </c>
      <c r="V88" s="11"/>
      <c r="W88" s="7"/>
    </row>
    <row r="90" spans="1:23" ht="15.75" thickBot="1" x14ac:dyDescent="0.3"/>
    <row r="91" spans="1:23" ht="75.75" thickBot="1" x14ac:dyDescent="0.3">
      <c r="A91" s="43" t="s">
        <v>22</v>
      </c>
      <c r="B91" s="43" t="s">
        <v>47</v>
      </c>
      <c r="C91" s="43" t="s">
        <v>52</v>
      </c>
      <c r="D91" s="43" t="s">
        <v>17</v>
      </c>
      <c r="E91" s="42" t="s">
        <v>16</v>
      </c>
      <c r="F91" s="44" t="s">
        <v>1</v>
      </c>
      <c r="G91" s="45" t="s">
        <v>23</v>
      </c>
      <c r="H91" s="46" t="s">
        <v>72</v>
      </c>
      <c r="I91" s="46" t="s">
        <v>73</v>
      </c>
      <c r="J91" s="46" t="s">
        <v>53</v>
      </c>
      <c r="K91" s="46" t="s">
        <v>58</v>
      </c>
      <c r="L91" s="46" t="s">
        <v>54</v>
      </c>
      <c r="M91" s="46" t="s">
        <v>59</v>
      </c>
      <c r="N91" s="46" t="s">
        <v>55</v>
      </c>
      <c r="O91" s="46" t="s">
        <v>60</v>
      </c>
      <c r="P91" s="46" t="s">
        <v>56</v>
      </c>
      <c r="Q91" s="46" t="s">
        <v>74</v>
      </c>
      <c r="R91" s="46" t="s">
        <v>115</v>
      </c>
      <c r="S91" s="46" t="s">
        <v>41</v>
      </c>
      <c r="T91" s="46" t="s">
        <v>4</v>
      </c>
      <c r="U91" s="42" t="s">
        <v>2</v>
      </c>
      <c r="V91" s="80" t="s">
        <v>20</v>
      </c>
      <c r="W91" s="81" t="s">
        <v>6</v>
      </c>
    </row>
    <row r="92" spans="1:23" ht="15.75" thickBot="1" x14ac:dyDescent="0.3">
      <c r="A92" s="73">
        <v>1518004</v>
      </c>
      <c r="B92" s="73" t="s">
        <v>178</v>
      </c>
      <c r="C92" s="317">
        <v>1152</v>
      </c>
      <c r="D92" s="317">
        <v>1210</v>
      </c>
      <c r="E92" s="317">
        <v>1118</v>
      </c>
      <c r="F92" s="318">
        <f>E92/D92</f>
        <v>0.9239669421487603</v>
      </c>
      <c r="G92" s="48">
        <v>45366</v>
      </c>
      <c r="H92" s="261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85"/>
      <c r="U92" s="166"/>
      <c r="V92" s="86" t="s">
        <v>75</v>
      </c>
      <c r="W92" s="39" t="s">
        <v>119</v>
      </c>
    </row>
    <row r="93" spans="1:23" x14ac:dyDescent="0.25">
      <c r="A93" s="49"/>
      <c r="B93" s="50"/>
      <c r="C93" s="50"/>
      <c r="D93" s="50"/>
      <c r="E93" s="50"/>
      <c r="F93" s="50"/>
      <c r="G93" s="51"/>
      <c r="H93" s="262">
        <v>32</v>
      </c>
      <c r="I93" s="33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347">
        <f>SUM(H93,J93,L93,N93,P93,R93,S93)</f>
        <v>32</v>
      </c>
      <c r="U93" s="183">
        <f>($T93)/$D$92</f>
        <v>2.6446280991735537E-2</v>
      </c>
      <c r="V93" s="263" t="s">
        <v>15</v>
      </c>
      <c r="W93" s="270" t="s">
        <v>120</v>
      </c>
    </row>
    <row r="94" spans="1:23" x14ac:dyDescent="0.25">
      <c r="A94" s="52"/>
      <c r="B94" s="53"/>
      <c r="C94" s="53"/>
      <c r="D94" s="53"/>
      <c r="E94" s="53"/>
      <c r="F94" s="53"/>
      <c r="G94" s="54"/>
      <c r="H94" s="297"/>
      <c r="I94" s="345"/>
      <c r="J94" s="62"/>
      <c r="K94" s="62"/>
      <c r="L94" s="62"/>
      <c r="M94" s="62"/>
      <c r="N94" s="62"/>
      <c r="O94" s="62"/>
      <c r="P94" s="62"/>
      <c r="Q94" s="62"/>
      <c r="R94" s="62"/>
      <c r="S94" s="62">
        <v>11</v>
      </c>
      <c r="T94" s="346">
        <f>SUM(H94,J94,L94,N94,P94,R94,S94)</f>
        <v>11</v>
      </c>
      <c r="U94" s="183">
        <f>($T94)/$D$92</f>
        <v>9.0909090909090905E-3</v>
      </c>
      <c r="V94" s="284" t="s">
        <v>43</v>
      </c>
      <c r="W94" s="270" t="s">
        <v>332</v>
      </c>
    </row>
    <row r="95" spans="1:23" x14ac:dyDescent="0.25">
      <c r="A95" s="52"/>
      <c r="B95" s="265"/>
      <c r="C95" s="265"/>
      <c r="D95" s="265"/>
      <c r="E95" s="265"/>
      <c r="F95" s="265"/>
      <c r="G95" s="266"/>
      <c r="H95" s="267">
        <v>4</v>
      </c>
      <c r="I95" s="340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268">
        <f t="shared" ref="T95:T118" si="10">SUM(H95,J95,L95,N95,P95,R95,S95)</f>
        <v>4</v>
      </c>
      <c r="U95" s="183">
        <f t="shared" ref="U95:U108" si="11">($T95)/$D$92</f>
        <v>3.3057851239669421E-3</v>
      </c>
      <c r="V95" s="269" t="s">
        <v>5</v>
      </c>
      <c r="W95" s="311"/>
    </row>
    <row r="96" spans="1:23" x14ac:dyDescent="0.25">
      <c r="A96" s="52"/>
      <c r="B96" s="265"/>
      <c r="C96" s="265"/>
      <c r="D96" s="265"/>
      <c r="E96" s="265"/>
      <c r="F96" s="265"/>
      <c r="G96" s="266"/>
      <c r="H96" s="267">
        <v>3</v>
      </c>
      <c r="I96" s="340"/>
      <c r="J96" s="61">
        <v>4</v>
      </c>
      <c r="K96" s="61"/>
      <c r="L96" s="61"/>
      <c r="M96" s="61"/>
      <c r="N96" s="61"/>
      <c r="O96" s="61"/>
      <c r="P96" s="61"/>
      <c r="Q96" s="61"/>
      <c r="R96" s="61"/>
      <c r="S96" s="61"/>
      <c r="T96" s="268">
        <f t="shared" si="10"/>
        <v>7</v>
      </c>
      <c r="U96" s="183">
        <f t="shared" si="11"/>
        <v>5.7851239669421484E-3</v>
      </c>
      <c r="V96" s="269" t="s">
        <v>13</v>
      </c>
      <c r="W96" s="311"/>
    </row>
    <row r="97" spans="1:23" x14ac:dyDescent="0.25">
      <c r="A97" s="52"/>
      <c r="B97" s="265"/>
      <c r="C97" s="265"/>
      <c r="D97" s="265"/>
      <c r="E97" s="265"/>
      <c r="F97" s="265"/>
      <c r="G97" s="266"/>
      <c r="H97" s="267"/>
      <c r="I97" s="340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268">
        <f t="shared" si="10"/>
        <v>0</v>
      </c>
      <c r="U97" s="183">
        <f t="shared" si="11"/>
        <v>0</v>
      </c>
      <c r="V97" s="269" t="s">
        <v>14</v>
      </c>
      <c r="W97" s="271"/>
    </row>
    <row r="98" spans="1:23" x14ac:dyDescent="0.25">
      <c r="A98" s="52"/>
      <c r="B98" s="265"/>
      <c r="C98" s="265"/>
      <c r="D98" s="265"/>
      <c r="E98" s="265"/>
      <c r="F98" s="265"/>
      <c r="G98" s="266"/>
      <c r="H98" s="267">
        <v>1</v>
      </c>
      <c r="I98" s="340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268">
        <f t="shared" si="10"/>
        <v>1</v>
      </c>
      <c r="U98" s="183">
        <f t="shared" si="11"/>
        <v>8.2644628099173552E-4</v>
      </c>
      <c r="V98" s="269" t="s">
        <v>30</v>
      </c>
      <c r="W98" s="271"/>
    </row>
    <row r="99" spans="1:23" x14ac:dyDescent="0.25">
      <c r="A99" s="52"/>
      <c r="B99" s="265"/>
      <c r="C99" s="265"/>
      <c r="D99" s="265"/>
      <c r="E99" s="265"/>
      <c r="F99" s="265"/>
      <c r="G99" s="266"/>
      <c r="H99" s="267"/>
      <c r="I99" s="340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268">
        <f t="shared" si="10"/>
        <v>0</v>
      </c>
      <c r="U99" s="183">
        <f t="shared" si="11"/>
        <v>0</v>
      </c>
      <c r="V99" s="269" t="s">
        <v>31</v>
      </c>
      <c r="W99" s="271"/>
    </row>
    <row r="100" spans="1:23" x14ac:dyDescent="0.25">
      <c r="A100" s="52"/>
      <c r="B100" s="265"/>
      <c r="C100" s="265"/>
      <c r="D100" s="265"/>
      <c r="E100" s="265"/>
      <c r="F100" s="265"/>
      <c r="G100" s="266"/>
      <c r="H100" s="267"/>
      <c r="I100" s="340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268">
        <f t="shared" si="10"/>
        <v>0</v>
      </c>
      <c r="U100" s="183">
        <f t="shared" si="11"/>
        <v>0</v>
      </c>
      <c r="V100" s="269" t="s">
        <v>166</v>
      </c>
      <c r="W100" s="271"/>
    </row>
    <row r="101" spans="1:23" x14ac:dyDescent="0.25">
      <c r="A101" s="52"/>
      <c r="B101" s="265"/>
      <c r="C101" s="265"/>
      <c r="D101" s="265"/>
      <c r="E101" s="265"/>
      <c r="F101" s="265" t="s">
        <v>100</v>
      </c>
      <c r="G101" s="266"/>
      <c r="H101" s="267"/>
      <c r="I101" s="340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268">
        <f t="shared" si="10"/>
        <v>0</v>
      </c>
      <c r="U101" s="183">
        <f t="shared" si="11"/>
        <v>0</v>
      </c>
      <c r="V101" s="269" t="s">
        <v>29</v>
      </c>
      <c r="W101" s="271"/>
    </row>
    <row r="102" spans="1:23" x14ac:dyDescent="0.25">
      <c r="A102" s="52"/>
      <c r="B102" s="265"/>
      <c r="C102" s="265"/>
      <c r="D102" s="265"/>
      <c r="E102" s="265"/>
      <c r="F102" s="265"/>
      <c r="G102" s="266"/>
      <c r="H102" s="267"/>
      <c r="I102" s="340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268">
        <f t="shared" si="10"/>
        <v>0</v>
      </c>
      <c r="U102" s="183">
        <f t="shared" si="11"/>
        <v>0</v>
      </c>
      <c r="V102" s="269" t="s">
        <v>0</v>
      </c>
      <c r="W102" s="272"/>
    </row>
    <row r="103" spans="1:23" x14ac:dyDescent="0.25">
      <c r="A103" s="52"/>
      <c r="B103" s="265"/>
      <c r="C103" s="265"/>
      <c r="D103" s="265"/>
      <c r="E103" s="265"/>
      <c r="F103" s="265"/>
      <c r="G103" s="266"/>
      <c r="H103" s="267">
        <v>16</v>
      </c>
      <c r="I103" s="340"/>
      <c r="J103" s="61"/>
      <c r="K103" s="61"/>
      <c r="L103" s="61"/>
      <c r="M103" s="61"/>
      <c r="N103" s="61"/>
      <c r="O103" s="61"/>
      <c r="P103" s="61"/>
      <c r="Q103" s="61"/>
      <c r="R103" s="61"/>
      <c r="S103" s="61">
        <v>2</v>
      </c>
      <c r="T103" s="268">
        <f t="shared" si="10"/>
        <v>18</v>
      </c>
      <c r="U103" s="183">
        <f t="shared" si="11"/>
        <v>1.487603305785124E-2</v>
      </c>
      <c r="V103" s="269" t="s">
        <v>11</v>
      </c>
      <c r="W103" s="272"/>
    </row>
    <row r="104" spans="1:23" x14ac:dyDescent="0.25">
      <c r="A104" s="52"/>
      <c r="B104" s="265"/>
      <c r="C104" s="265"/>
      <c r="D104" s="265"/>
      <c r="E104" s="265"/>
      <c r="F104" s="265"/>
      <c r="G104" s="266"/>
      <c r="H104" s="267"/>
      <c r="I104" s="340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268">
        <f t="shared" si="10"/>
        <v>0</v>
      </c>
      <c r="U104" s="183">
        <f t="shared" si="11"/>
        <v>0</v>
      </c>
      <c r="V104" s="269" t="s">
        <v>33</v>
      </c>
      <c r="W104" s="272"/>
    </row>
    <row r="105" spans="1:23" x14ac:dyDescent="0.25">
      <c r="A105" s="52"/>
      <c r="B105" s="265"/>
      <c r="C105" s="265"/>
      <c r="D105" s="265"/>
      <c r="E105" s="265"/>
      <c r="F105" s="265"/>
      <c r="G105" s="266"/>
      <c r="H105" s="273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274">
        <f t="shared" si="10"/>
        <v>0</v>
      </c>
      <c r="U105" s="183">
        <f t="shared" si="11"/>
        <v>0</v>
      </c>
      <c r="V105" s="148" t="s">
        <v>156</v>
      </c>
      <c r="W105" s="272"/>
    </row>
    <row r="106" spans="1:23" x14ac:dyDescent="0.25">
      <c r="A106" s="52"/>
      <c r="B106" s="265"/>
      <c r="C106" s="265"/>
      <c r="D106" s="265"/>
      <c r="E106" s="265"/>
      <c r="F106" s="265"/>
      <c r="G106" s="56"/>
      <c r="H106" s="276"/>
      <c r="I106" s="61"/>
      <c r="J106" s="66"/>
      <c r="K106" s="61"/>
      <c r="L106" s="61"/>
      <c r="M106" s="61"/>
      <c r="N106" s="61"/>
      <c r="O106" s="61"/>
      <c r="P106" s="61"/>
      <c r="Q106" s="61"/>
      <c r="R106" s="61"/>
      <c r="S106" s="61"/>
      <c r="T106" s="268">
        <f t="shared" si="10"/>
        <v>0</v>
      </c>
      <c r="U106" s="183">
        <f t="shared" si="11"/>
        <v>0</v>
      </c>
      <c r="V106" s="334" t="s">
        <v>85</v>
      </c>
      <c r="W106" s="277"/>
    </row>
    <row r="107" spans="1:23" x14ac:dyDescent="0.25">
      <c r="A107" s="52"/>
      <c r="B107" s="265"/>
      <c r="C107" s="265"/>
      <c r="D107" s="265"/>
      <c r="E107" s="265"/>
      <c r="F107" s="265"/>
      <c r="G107" s="56"/>
      <c r="H107" s="278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268">
        <f t="shared" si="10"/>
        <v>0</v>
      </c>
      <c r="U107" s="183">
        <f t="shared" si="11"/>
        <v>0</v>
      </c>
      <c r="V107" s="188" t="s">
        <v>165</v>
      </c>
      <c r="W107" s="264"/>
    </row>
    <row r="108" spans="1:23" x14ac:dyDescent="0.25">
      <c r="A108" s="52"/>
      <c r="B108" s="265"/>
      <c r="C108" s="265"/>
      <c r="D108" s="265"/>
      <c r="E108" s="265"/>
      <c r="F108" s="265"/>
      <c r="G108" s="266"/>
      <c r="H108" s="267"/>
      <c r="I108" s="276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268">
        <f t="shared" si="10"/>
        <v>0</v>
      </c>
      <c r="U108" s="183">
        <f t="shared" si="11"/>
        <v>0</v>
      </c>
      <c r="V108" s="269" t="s">
        <v>112</v>
      </c>
      <c r="W108" s="264"/>
    </row>
    <row r="109" spans="1:23" ht="15.75" thickBot="1" x14ac:dyDescent="0.3">
      <c r="A109" s="52"/>
      <c r="B109" s="265"/>
      <c r="C109" s="265"/>
      <c r="D109" s="265"/>
      <c r="E109" s="265"/>
      <c r="F109" s="265"/>
      <c r="G109" s="266"/>
      <c r="H109" s="279"/>
      <c r="I109" s="174"/>
      <c r="J109" s="174">
        <v>2</v>
      </c>
      <c r="K109" s="174"/>
      <c r="L109" s="174"/>
      <c r="M109" s="174"/>
      <c r="N109" s="174"/>
      <c r="O109" s="174"/>
      <c r="P109" s="174"/>
      <c r="Q109" s="174"/>
      <c r="R109" s="174"/>
      <c r="S109" s="174"/>
      <c r="T109" s="280">
        <f t="shared" si="10"/>
        <v>2</v>
      </c>
      <c r="U109" s="245">
        <f>($T109)/$D$92</f>
        <v>1.652892561983471E-3</v>
      </c>
      <c r="V109" s="281" t="s">
        <v>27</v>
      </c>
      <c r="W109" s="282"/>
    </row>
    <row r="110" spans="1:23" x14ac:dyDescent="0.25">
      <c r="A110" s="52"/>
      <c r="B110" s="265"/>
      <c r="C110" s="265" t="s">
        <v>111</v>
      </c>
      <c r="D110" s="265"/>
      <c r="E110" s="265"/>
      <c r="F110" s="265"/>
      <c r="G110" s="266"/>
      <c r="H110" s="283"/>
      <c r="I110" s="62">
        <v>1</v>
      </c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268">
        <f t="shared" si="10"/>
        <v>0</v>
      </c>
      <c r="U110" s="183">
        <f>($T110)/$D$92</f>
        <v>0</v>
      </c>
      <c r="V110" s="284" t="s">
        <v>10</v>
      </c>
      <c r="W110" s="264"/>
    </row>
    <row r="111" spans="1:23" x14ac:dyDescent="0.25">
      <c r="A111" s="52"/>
      <c r="B111" s="265"/>
      <c r="C111" s="265"/>
      <c r="D111" s="265"/>
      <c r="E111" s="265"/>
      <c r="F111" s="265"/>
      <c r="G111" s="266"/>
      <c r="H111" s="285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268">
        <f t="shared" si="10"/>
        <v>0</v>
      </c>
      <c r="U111" s="183">
        <f>($T111)/$D$92</f>
        <v>0</v>
      </c>
      <c r="V111" s="269" t="s">
        <v>28</v>
      </c>
      <c r="W111" s="264"/>
    </row>
    <row r="112" spans="1:23" x14ac:dyDescent="0.25">
      <c r="A112" s="52"/>
      <c r="B112" s="265"/>
      <c r="C112" s="265"/>
      <c r="D112" s="265"/>
      <c r="E112" s="265"/>
      <c r="F112" s="265"/>
      <c r="G112" s="266"/>
      <c r="H112" s="285"/>
      <c r="I112" s="61">
        <v>4</v>
      </c>
      <c r="J112" s="61"/>
      <c r="K112" s="61"/>
      <c r="L112" s="61"/>
      <c r="M112" s="61"/>
      <c r="N112" s="61"/>
      <c r="O112" s="61"/>
      <c r="P112" s="61"/>
      <c r="Q112" s="61"/>
      <c r="R112" s="61"/>
      <c r="S112" s="61">
        <v>4</v>
      </c>
      <c r="T112" s="268">
        <f t="shared" si="10"/>
        <v>4</v>
      </c>
      <c r="U112" s="183">
        <f t="shared" ref="U112:U122" si="12">($T112)/$D$92</f>
        <v>3.3057851239669421E-3</v>
      </c>
      <c r="V112" s="269" t="s">
        <v>3</v>
      </c>
      <c r="W112" s="271"/>
    </row>
    <row r="113" spans="1:23" x14ac:dyDescent="0.25">
      <c r="A113" s="52"/>
      <c r="B113" s="265"/>
      <c r="C113" s="265"/>
      <c r="D113" s="265"/>
      <c r="E113" s="265"/>
      <c r="F113" s="265"/>
      <c r="G113" s="266"/>
      <c r="H113" s="285"/>
      <c r="I113" s="61">
        <v>3</v>
      </c>
      <c r="J113" s="61">
        <v>1</v>
      </c>
      <c r="K113" s="61"/>
      <c r="L113" s="61"/>
      <c r="M113" s="61"/>
      <c r="N113" s="61"/>
      <c r="O113" s="61"/>
      <c r="P113" s="61"/>
      <c r="Q113" s="61"/>
      <c r="R113" s="61"/>
      <c r="S113" s="61"/>
      <c r="T113" s="268">
        <f t="shared" si="10"/>
        <v>1</v>
      </c>
      <c r="U113" s="183">
        <f t="shared" si="12"/>
        <v>8.2644628099173552E-4</v>
      </c>
      <c r="V113" s="269" t="s">
        <v>7</v>
      </c>
      <c r="W113" s="272"/>
    </row>
    <row r="114" spans="1:23" x14ac:dyDescent="0.25">
      <c r="A114" s="52"/>
      <c r="B114" s="265"/>
      <c r="C114" s="265"/>
      <c r="D114" s="265"/>
      <c r="E114" s="265"/>
      <c r="F114" s="265"/>
      <c r="G114" s="266"/>
      <c r="H114" s="285"/>
      <c r="I114" s="61">
        <v>17</v>
      </c>
      <c r="J114" s="61">
        <v>10</v>
      </c>
      <c r="K114" s="61"/>
      <c r="L114" s="61"/>
      <c r="M114" s="61"/>
      <c r="N114" s="61"/>
      <c r="O114" s="61"/>
      <c r="P114" s="61"/>
      <c r="Q114" s="61"/>
      <c r="R114" s="61"/>
      <c r="S114" s="61"/>
      <c r="T114" s="268">
        <f t="shared" si="10"/>
        <v>10</v>
      </c>
      <c r="U114" s="183">
        <f t="shared" si="12"/>
        <v>8.2644628099173556E-3</v>
      </c>
      <c r="V114" s="269" t="s">
        <v>8</v>
      </c>
      <c r="W114" s="272"/>
    </row>
    <row r="115" spans="1:23" x14ac:dyDescent="0.25">
      <c r="A115" s="52"/>
      <c r="B115" s="265"/>
      <c r="C115" s="265"/>
      <c r="D115" s="265"/>
      <c r="E115" s="265"/>
      <c r="F115" s="265"/>
      <c r="G115" s="266"/>
      <c r="H115" s="285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268">
        <f t="shared" si="10"/>
        <v>0</v>
      </c>
      <c r="U115" s="183">
        <f t="shared" si="12"/>
        <v>0</v>
      </c>
      <c r="V115" s="269" t="s">
        <v>77</v>
      </c>
      <c r="W115" s="264" t="s">
        <v>334</v>
      </c>
    </row>
    <row r="116" spans="1:23" x14ac:dyDescent="0.25">
      <c r="A116" s="52"/>
      <c r="B116" s="265"/>
      <c r="C116" s="265"/>
      <c r="D116" s="265"/>
      <c r="E116" s="265"/>
      <c r="F116" s="265"/>
      <c r="G116" s="266"/>
      <c r="H116" s="285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268">
        <f t="shared" si="10"/>
        <v>0</v>
      </c>
      <c r="U116" s="183">
        <f t="shared" si="12"/>
        <v>0</v>
      </c>
      <c r="V116" s="269" t="s">
        <v>19</v>
      </c>
      <c r="W116" s="264" t="s">
        <v>416</v>
      </c>
    </row>
    <row r="117" spans="1:23" x14ac:dyDescent="0.25">
      <c r="A117" s="52"/>
      <c r="B117" s="265"/>
      <c r="C117" s="265"/>
      <c r="D117" s="265"/>
      <c r="E117" s="265"/>
      <c r="F117" s="265"/>
      <c r="G117" s="266"/>
      <c r="H117" s="285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268">
        <f t="shared" si="10"/>
        <v>0</v>
      </c>
      <c r="U117" s="183">
        <f t="shared" si="12"/>
        <v>0</v>
      </c>
      <c r="V117" s="269" t="s">
        <v>78</v>
      </c>
      <c r="W117" s="300" t="s">
        <v>418</v>
      </c>
    </row>
    <row r="118" spans="1:23" x14ac:dyDescent="0.25">
      <c r="A118" s="52"/>
      <c r="B118" s="265"/>
      <c r="C118" s="265"/>
      <c r="D118" s="265"/>
      <c r="E118" s="265"/>
      <c r="F118" s="265"/>
      <c r="G118" s="266"/>
      <c r="H118" s="285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268">
        <f t="shared" si="10"/>
        <v>0</v>
      </c>
      <c r="U118" s="183">
        <f t="shared" si="12"/>
        <v>0</v>
      </c>
      <c r="V118" s="269" t="s">
        <v>9</v>
      </c>
      <c r="W118" s="271"/>
    </row>
    <row r="119" spans="1:23" x14ac:dyDescent="0.25">
      <c r="A119" s="52"/>
      <c r="B119" s="265"/>
      <c r="C119" s="265"/>
      <c r="D119" s="265"/>
      <c r="E119" s="265"/>
      <c r="F119" s="265"/>
      <c r="G119" s="266"/>
      <c r="H119" s="285"/>
      <c r="I119" s="61">
        <v>5</v>
      </c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268">
        <f>SUM(H119,J119,L119,N119,P119,R119,S119)</f>
        <v>0</v>
      </c>
      <c r="U119" s="183">
        <f t="shared" si="12"/>
        <v>0</v>
      </c>
      <c r="V119" s="269" t="s">
        <v>12</v>
      </c>
      <c r="W119" s="272"/>
    </row>
    <row r="120" spans="1:23" x14ac:dyDescent="0.25">
      <c r="A120" s="52"/>
      <c r="B120" s="265"/>
      <c r="C120" s="265"/>
      <c r="D120" s="265"/>
      <c r="E120" s="265"/>
      <c r="F120" s="265"/>
      <c r="G120" s="266"/>
      <c r="H120" s="267"/>
      <c r="I120" s="61">
        <v>1</v>
      </c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268">
        <f>SUM(H120,J120,L120,N120,P120,R120,S120)</f>
        <v>0</v>
      </c>
      <c r="U120" s="183">
        <f t="shared" si="12"/>
        <v>0</v>
      </c>
      <c r="V120" s="269" t="s">
        <v>92</v>
      </c>
      <c r="W120" s="271"/>
    </row>
    <row r="121" spans="1:23" x14ac:dyDescent="0.25">
      <c r="A121" s="52"/>
      <c r="B121" s="265"/>
      <c r="C121" s="265"/>
      <c r="D121" s="265"/>
      <c r="E121" s="265"/>
      <c r="F121" s="265"/>
      <c r="G121" s="266"/>
      <c r="H121" s="267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268">
        <f>SUM(H121,J121,L121,N121,P121,R121,S121)</f>
        <v>0</v>
      </c>
      <c r="U121" s="183">
        <f t="shared" si="12"/>
        <v>0</v>
      </c>
      <c r="V121" s="269" t="s">
        <v>9</v>
      </c>
      <c r="W121" s="271"/>
    </row>
    <row r="122" spans="1:23" x14ac:dyDescent="0.25">
      <c r="A122" s="52"/>
      <c r="B122" s="265"/>
      <c r="C122" s="265"/>
      <c r="D122" s="265"/>
      <c r="E122" s="265"/>
      <c r="F122" s="265"/>
      <c r="G122" s="266"/>
      <c r="H122" s="267"/>
      <c r="I122" s="61">
        <v>4</v>
      </c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268">
        <f>SUM(H122,J122,L122,N122,P122,R122,S122)</f>
        <v>0</v>
      </c>
      <c r="U122" s="183">
        <f t="shared" si="12"/>
        <v>0</v>
      </c>
      <c r="V122" s="269" t="s">
        <v>80</v>
      </c>
      <c r="W122" s="272"/>
    </row>
    <row r="123" spans="1:23" ht="15.75" thickBot="1" x14ac:dyDescent="0.3">
      <c r="A123" s="52"/>
      <c r="B123" s="265"/>
      <c r="C123" s="265"/>
      <c r="D123" s="265"/>
      <c r="E123" s="265"/>
      <c r="F123" s="265"/>
      <c r="G123" s="266"/>
      <c r="H123" s="273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268">
        <f>SUM(H123,J123,L123,N123,P123,R123,S123)</f>
        <v>0</v>
      </c>
      <c r="U123" s="183">
        <f>($T123)/$D$92</f>
        <v>0</v>
      </c>
      <c r="V123" s="275" t="s">
        <v>94</v>
      </c>
      <c r="W123" s="264"/>
    </row>
    <row r="124" spans="1:23" ht="15.75" thickBot="1" x14ac:dyDescent="0.3">
      <c r="A124" s="52"/>
      <c r="B124" s="265"/>
      <c r="C124" s="265"/>
      <c r="D124" s="265"/>
      <c r="E124" s="265"/>
      <c r="F124" s="265"/>
      <c r="G124" s="266"/>
      <c r="H124" s="261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6"/>
      <c r="U124" s="166"/>
      <c r="V124" s="310" t="s">
        <v>81</v>
      </c>
      <c r="W124" s="354"/>
    </row>
    <row r="125" spans="1:23" x14ac:dyDescent="0.25">
      <c r="A125" s="52"/>
      <c r="B125" s="265"/>
      <c r="C125" s="265"/>
      <c r="D125" s="265"/>
      <c r="E125" s="265"/>
      <c r="F125" s="265"/>
      <c r="G125" s="56"/>
      <c r="H125" s="262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286">
        <f t="shared" ref="T125:T132" si="13">SUM(H125,J125,L125,N125,P125,R125,S125)</f>
        <v>0</v>
      </c>
      <c r="U125" s="183">
        <f>($T125)/$D$92</f>
        <v>0</v>
      </c>
      <c r="V125" s="113" t="s">
        <v>83</v>
      </c>
      <c r="W125" s="354" t="s">
        <v>214</v>
      </c>
    </row>
    <row r="126" spans="1:23" x14ac:dyDescent="0.25">
      <c r="A126" s="52"/>
      <c r="B126" s="265"/>
      <c r="C126" s="265"/>
      <c r="D126" s="265"/>
      <c r="E126" s="265"/>
      <c r="F126" s="265"/>
      <c r="G126" s="56"/>
      <c r="H126" s="267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268">
        <f t="shared" si="13"/>
        <v>0</v>
      </c>
      <c r="U126" s="183">
        <f>($T126)/$D$92</f>
        <v>0</v>
      </c>
      <c r="V126" s="269" t="s">
        <v>71</v>
      </c>
      <c r="W126" s="356" t="s">
        <v>206</v>
      </c>
    </row>
    <row r="127" spans="1:23" x14ac:dyDescent="0.25">
      <c r="A127" s="52"/>
      <c r="B127" s="265"/>
      <c r="C127" s="265"/>
      <c r="D127" s="265"/>
      <c r="E127" s="265"/>
      <c r="F127" s="265"/>
      <c r="G127" s="56"/>
      <c r="H127" s="267">
        <v>1</v>
      </c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268">
        <f t="shared" si="13"/>
        <v>1</v>
      </c>
      <c r="U127" s="183">
        <f t="shared" ref="U127:U131" si="14">($T127)/$D$92</f>
        <v>8.2644628099173552E-4</v>
      </c>
      <c r="V127" s="269" t="s">
        <v>175</v>
      </c>
      <c r="W127" s="354"/>
    </row>
    <row r="128" spans="1:23" x14ac:dyDescent="0.25">
      <c r="A128" s="52"/>
      <c r="B128" s="265"/>
      <c r="C128" s="265"/>
      <c r="D128" s="265"/>
      <c r="E128" s="265"/>
      <c r="F128" s="265"/>
      <c r="G128" s="56"/>
      <c r="H128" s="267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268">
        <f t="shared" si="13"/>
        <v>0</v>
      </c>
      <c r="U128" s="183">
        <f t="shared" si="14"/>
        <v>0</v>
      </c>
      <c r="V128" s="269" t="s">
        <v>12</v>
      </c>
      <c r="W128" s="354"/>
    </row>
    <row r="129" spans="1:23" x14ac:dyDescent="0.25">
      <c r="A129" s="52"/>
      <c r="B129" s="265"/>
      <c r="C129" s="265"/>
      <c r="D129" s="265"/>
      <c r="E129" s="265"/>
      <c r="F129" s="265"/>
      <c r="G129" s="56"/>
      <c r="H129" s="267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268">
        <f t="shared" si="13"/>
        <v>0</v>
      </c>
      <c r="U129" s="183">
        <f t="shared" si="14"/>
        <v>0</v>
      </c>
      <c r="V129" s="148" t="s">
        <v>35</v>
      </c>
      <c r="W129" s="354"/>
    </row>
    <row r="130" spans="1:23" x14ac:dyDescent="0.25">
      <c r="A130" s="52"/>
      <c r="B130" s="265"/>
      <c r="C130" s="265"/>
      <c r="D130" s="265"/>
      <c r="E130" s="265"/>
      <c r="F130" s="265"/>
      <c r="G130" s="56"/>
      <c r="H130" s="267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268">
        <f t="shared" si="13"/>
        <v>0</v>
      </c>
      <c r="U130" s="183">
        <f t="shared" si="14"/>
        <v>0</v>
      </c>
      <c r="V130" s="148" t="s">
        <v>156</v>
      </c>
      <c r="W130" s="354"/>
    </row>
    <row r="131" spans="1:23" x14ac:dyDescent="0.25">
      <c r="A131" s="52"/>
      <c r="B131" s="265"/>
      <c r="C131" s="265"/>
      <c r="D131" s="265"/>
      <c r="E131" s="265"/>
      <c r="F131" s="265"/>
      <c r="G131" s="56"/>
      <c r="H131" s="273">
        <v>1</v>
      </c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268">
        <f t="shared" si="13"/>
        <v>1</v>
      </c>
      <c r="U131" s="183">
        <f t="shared" si="14"/>
        <v>8.2644628099173552E-4</v>
      </c>
      <c r="V131" s="335" t="s">
        <v>417</v>
      </c>
      <c r="W131" s="354"/>
    </row>
    <row r="132" spans="1:23" ht="15.75" thickBot="1" x14ac:dyDescent="0.3">
      <c r="A132" s="155"/>
      <c r="B132" s="156"/>
      <c r="C132" s="156"/>
      <c r="D132" s="156"/>
      <c r="E132" s="156"/>
      <c r="F132" s="156"/>
      <c r="G132" s="163"/>
      <c r="H132" s="273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274">
        <f t="shared" si="13"/>
        <v>0</v>
      </c>
      <c r="U132" s="183">
        <f>($T132)/$D$92</f>
        <v>0</v>
      </c>
      <c r="V132" s="287" t="s">
        <v>148</v>
      </c>
      <c r="W132" s="302"/>
    </row>
    <row r="133" spans="1:23" ht="15.75" thickBot="1" x14ac:dyDescent="0.3">
      <c r="G133" s="47" t="s">
        <v>4</v>
      </c>
      <c r="H133" s="57">
        <f t="shared" ref="H133:S133" si="15">SUM(H93:H132)</f>
        <v>58</v>
      </c>
      <c r="I133" s="57">
        <f t="shared" si="15"/>
        <v>35</v>
      </c>
      <c r="J133" s="57">
        <f t="shared" si="15"/>
        <v>17</v>
      </c>
      <c r="K133" s="57">
        <f t="shared" si="15"/>
        <v>0</v>
      </c>
      <c r="L133" s="57">
        <f t="shared" si="15"/>
        <v>0</v>
      </c>
      <c r="M133" s="57">
        <f t="shared" si="15"/>
        <v>0</v>
      </c>
      <c r="N133" s="57">
        <f t="shared" si="15"/>
        <v>0</v>
      </c>
      <c r="O133" s="57">
        <f t="shared" si="15"/>
        <v>0</v>
      </c>
      <c r="P133" s="57">
        <f t="shared" si="15"/>
        <v>0</v>
      </c>
      <c r="Q133" s="57">
        <f t="shared" si="15"/>
        <v>0</v>
      </c>
      <c r="R133" s="57">
        <f t="shared" si="15"/>
        <v>0</v>
      </c>
      <c r="S133" s="57">
        <f t="shared" si="15"/>
        <v>17</v>
      </c>
      <c r="T133" s="288">
        <f>SUM(H133,J133,L133,N133,P133,R133,S133)</f>
        <v>92</v>
      </c>
      <c r="U133" s="333">
        <f>($T133)/$D$92</f>
        <v>7.6033057851239663E-2</v>
      </c>
      <c r="V133" s="11"/>
      <c r="W133" s="7"/>
    </row>
  </sheetData>
  <conditionalFormatting sqref="U44:U45 U89:U90 U134:U1048576">
    <cfRule type="cellIs" dxfId="78" priority="906" operator="greaterThan">
      <formula>0.2</formula>
    </cfRule>
  </conditionalFormatting>
  <conditionalFormatting sqref="U3:U33">
    <cfRule type="cellIs" dxfId="77" priority="18" operator="greaterThan">
      <formula>0.2</formula>
    </cfRule>
  </conditionalFormatting>
  <conditionalFormatting sqref="U35:U43">
    <cfRule type="colorScale" priority="17">
      <colorScale>
        <cfvo type="min"/>
        <cfvo type="max"/>
        <color rgb="FFFCFCFF"/>
        <color rgb="FFF8696B"/>
      </colorScale>
    </cfRule>
  </conditionalFormatting>
  <conditionalFormatting sqref="U35:U43">
    <cfRule type="cellIs" dxfId="76" priority="14" operator="greaterThan">
      <formula>0.2</formula>
    </cfRule>
  </conditionalFormatting>
  <conditionalFormatting sqref="U1:U2">
    <cfRule type="cellIs" dxfId="75" priority="16" operator="greaterThan">
      <formula>0.2</formula>
    </cfRule>
  </conditionalFormatting>
  <conditionalFormatting sqref="U1:U2">
    <cfRule type="cellIs" dxfId="74" priority="15" operator="greaterThan">
      <formula>0.2</formula>
    </cfRule>
  </conditionalFormatting>
  <conditionalFormatting sqref="U3:U33">
    <cfRule type="colorScale" priority="19">
      <colorScale>
        <cfvo type="min"/>
        <cfvo type="max"/>
        <color rgb="FFFCFCFF"/>
        <color rgb="FFF8696B"/>
      </colorScale>
    </cfRule>
  </conditionalFormatting>
  <conditionalFormatting sqref="U48:U78">
    <cfRule type="cellIs" dxfId="73" priority="11" operator="greaterThan">
      <formula>0.2</formula>
    </cfRule>
  </conditionalFormatting>
  <conditionalFormatting sqref="U80:U88">
    <cfRule type="colorScale" priority="10">
      <colorScale>
        <cfvo type="min"/>
        <cfvo type="max"/>
        <color rgb="FFFCFCFF"/>
        <color rgb="FFF8696B"/>
      </colorScale>
    </cfRule>
  </conditionalFormatting>
  <conditionalFormatting sqref="U80:U88">
    <cfRule type="cellIs" dxfId="72" priority="7" operator="greaterThan">
      <formula>0.2</formula>
    </cfRule>
  </conditionalFormatting>
  <conditionalFormatting sqref="U46:U47">
    <cfRule type="cellIs" dxfId="71" priority="9" operator="greaterThan">
      <formula>0.2</formula>
    </cfRule>
  </conditionalFormatting>
  <conditionalFormatting sqref="U46:U47">
    <cfRule type="cellIs" dxfId="70" priority="8" operator="greaterThan">
      <formula>0.2</formula>
    </cfRule>
  </conditionalFormatting>
  <conditionalFormatting sqref="U48:U78">
    <cfRule type="colorScale" priority="12">
      <colorScale>
        <cfvo type="min"/>
        <cfvo type="max"/>
        <color rgb="FFFCFCFF"/>
        <color rgb="FFF8696B"/>
      </colorScale>
    </cfRule>
  </conditionalFormatting>
  <conditionalFormatting sqref="U93:U123">
    <cfRule type="cellIs" dxfId="69" priority="5" operator="greaterThan">
      <formula>0.2</formula>
    </cfRule>
  </conditionalFormatting>
  <conditionalFormatting sqref="U125:U133">
    <cfRule type="colorScale" priority="4">
      <colorScale>
        <cfvo type="min"/>
        <cfvo type="max"/>
        <color rgb="FFFCFCFF"/>
        <color rgb="FFF8696B"/>
      </colorScale>
    </cfRule>
  </conditionalFormatting>
  <conditionalFormatting sqref="U125:U133">
    <cfRule type="cellIs" dxfId="68" priority="1" operator="greaterThan">
      <formula>0.2</formula>
    </cfRule>
  </conditionalFormatting>
  <conditionalFormatting sqref="U91:U92">
    <cfRule type="cellIs" dxfId="67" priority="3" operator="greaterThan">
      <formula>0.2</formula>
    </cfRule>
  </conditionalFormatting>
  <conditionalFormatting sqref="U91:U92">
    <cfRule type="cellIs" dxfId="66" priority="2" operator="greaterThan">
      <formula>0.2</formula>
    </cfRule>
  </conditionalFormatting>
  <conditionalFormatting sqref="U93:U123">
    <cfRule type="colorScale" priority="6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2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3">
    <pageSetUpPr fitToPage="1"/>
  </sheetPr>
  <dimension ref="A1:U29"/>
  <sheetViews>
    <sheetView showGridLines="0" zoomScaleNormal="100" workbookViewId="0">
      <selection activeCell="S30" sqref="S30"/>
    </sheetView>
  </sheetViews>
  <sheetFormatPr defaultColWidth="9.140625" defaultRowHeight="15" x14ac:dyDescent="0.25"/>
  <cols>
    <col min="1" max="2" width="10.7109375" style="23" customWidth="1"/>
    <col min="3" max="3" width="12" style="23" customWidth="1"/>
    <col min="4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12.7109375" style="23" customWidth="1"/>
    <col min="16" max="16" width="10.7109375" style="23" customWidth="1"/>
    <col min="17" max="17" width="12.7109375" style="23" customWidth="1"/>
    <col min="18" max="18" width="8.5703125" style="23" bestFit="1" customWidth="1"/>
    <col min="19" max="16384" width="9.140625" style="23"/>
  </cols>
  <sheetData>
    <row r="1" spans="1:21" ht="54" customHeight="1" x14ac:dyDescent="0.25">
      <c r="A1" s="558" t="s">
        <v>103</v>
      </c>
      <c r="B1" s="558"/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  <c r="R1" s="558"/>
    </row>
    <row r="3" spans="1:21" ht="26.25" customHeight="1" x14ac:dyDescent="0.25">
      <c r="O3" s="559" t="s">
        <v>50</v>
      </c>
      <c r="P3" s="560"/>
      <c r="Q3" s="560"/>
      <c r="R3" s="560"/>
    </row>
    <row r="4" spans="1:21" x14ac:dyDescent="0.25">
      <c r="O4" s="561" t="s">
        <v>20</v>
      </c>
      <c r="P4" s="562"/>
      <c r="Q4" s="563"/>
      <c r="R4" s="259" t="s">
        <v>24</v>
      </c>
    </row>
    <row r="5" spans="1:21" x14ac:dyDescent="0.25">
      <c r="O5" s="19" t="s">
        <v>15</v>
      </c>
      <c r="P5" s="20"/>
      <c r="Q5" s="21"/>
      <c r="R5" s="255">
        <f>SUMIF('EB217'!$V$3:$V$132,O5,'EB217'!$T$3:$T$132)</f>
        <v>91</v>
      </c>
    </row>
    <row r="6" spans="1:21" x14ac:dyDescent="0.25">
      <c r="O6" s="19" t="s">
        <v>5</v>
      </c>
      <c r="P6" s="20"/>
      <c r="Q6" s="21"/>
      <c r="R6" s="255">
        <f>SUMIF('EB217'!$V$3:$V$132,O6,'EB217'!$T$3:$T$132)</f>
        <v>62</v>
      </c>
    </row>
    <row r="7" spans="1:21" x14ac:dyDescent="0.25">
      <c r="O7" s="19" t="s">
        <v>11</v>
      </c>
      <c r="P7" s="20"/>
      <c r="Q7" s="21"/>
      <c r="R7" s="255">
        <f>SUMIF('EB217'!$V$3:$V$132,O7,'EB217'!$T$3:$T$132)</f>
        <v>51</v>
      </c>
    </row>
    <row r="8" spans="1:21" x14ac:dyDescent="0.25">
      <c r="O8" s="19" t="s">
        <v>13</v>
      </c>
      <c r="P8" s="20"/>
      <c r="Q8" s="21"/>
      <c r="R8" s="255">
        <f>SUMIF('EB217'!$V$3:$V$132,O8,'EB217'!$T$3:$T$132)</f>
        <v>46</v>
      </c>
    </row>
    <row r="9" spans="1:21" x14ac:dyDescent="0.25">
      <c r="O9" s="19" t="s">
        <v>8</v>
      </c>
      <c r="P9" s="20"/>
      <c r="Q9" s="21"/>
      <c r="R9" s="255">
        <f>SUMIF('EB217'!$V$3:$V$132,O9,'EB217'!$T$3:$T$132)</f>
        <v>23</v>
      </c>
    </row>
    <row r="10" spans="1:21" ht="15.75" x14ac:dyDescent="0.25">
      <c r="O10" s="19" t="s">
        <v>3</v>
      </c>
      <c r="P10" s="20"/>
      <c r="Q10" s="21"/>
      <c r="R10" s="255">
        <f>SUMIF('EB217'!$V$3:$V$132,O10,'EB217'!$T$3:$T$132)</f>
        <v>17</v>
      </c>
      <c r="U10" s="125"/>
    </row>
    <row r="11" spans="1:21" x14ac:dyDescent="0.25">
      <c r="O11" s="19" t="s">
        <v>30</v>
      </c>
      <c r="P11" s="20"/>
      <c r="Q11" s="21"/>
      <c r="R11" s="255">
        <f>SUMIF('EB217'!$V$3:$V$132,O11,'EB217'!$T$3:$T$132)</f>
        <v>13</v>
      </c>
    </row>
    <row r="12" spans="1:21" x14ac:dyDescent="0.25">
      <c r="O12" s="19" t="s">
        <v>43</v>
      </c>
      <c r="P12" s="20"/>
      <c r="Q12" s="21"/>
      <c r="R12" s="255">
        <f>SUMIF('EB217'!$V$3:$V$132,O12,'EB217'!$T$3:$T$132)</f>
        <v>13</v>
      </c>
    </row>
    <row r="13" spans="1:21" x14ac:dyDescent="0.25">
      <c r="O13" s="19" t="s">
        <v>33</v>
      </c>
      <c r="P13" s="20"/>
      <c r="Q13" s="21"/>
      <c r="R13" s="255">
        <f>SUMIF('EB217'!$V$3:$V$132,O13,'EB217'!$T$3:$T$132)</f>
        <v>9</v>
      </c>
    </row>
    <row r="14" spans="1:21" x14ac:dyDescent="0.25">
      <c r="O14" s="19" t="s">
        <v>0</v>
      </c>
      <c r="P14" s="20"/>
      <c r="Q14" s="21"/>
      <c r="R14" s="255">
        <f>SUMIF('EB217'!$V$3:$V$132,O14,'EB217'!$T$3:$T$132)</f>
        <v>4</v>
      </c>
    </row>
    <row r="15" spans="1:21" x14ac:dyDescent="0.25">
      <c r="O15" s="19" t="s">
        <v>19</v>
      </c>
      <c r="P15" s="20"/>
      <c r="Q15" s="21"/>
      <c r="R15" s="255">
        <f>SUMIF('EB217'!$V$3:$V$132,O15,'EB217'!$T$3:$T$132)</f>
        <v>2</v>
      </c>
    </row>
    <row r="16" spans="1:21" x14ac:dyDescent="0.25">
      <c r="O16" s="19" t="s">
        <v>35</v>
      </c>
      <c r="P16" s="20"/>
      <c r="Q16" s="21"/>
      <c r="R16" s="255">
        <f>SUMIF('EB217'!$V$3:$V$132,O16,'EB217'!$T$3:$T$132)</f>
        <v>1</v>
      </c>
    </row>
    <row r="17" spans="1:18" x14ac:dyDescent="0.25">
      <c r="O17" s="19" t="s">
        <v>7</v>
      </c>
      <c r="P17" s="20"/>
      <c r="Q17" s="21"/>
      <c r="R17" s="255">
        <f>SUMIF('EB217'!$V$3:$V$132,O17,'EB217'!$T$3:$T$132)</f>
        <v>1</v>
      </c>
    </row>
    <row r="18" spans="1:18" x14ac:dyDescent="0.25">
      <c r="O18" s="19" t="s">
        <v>12</v>
      </c>
      <c r="P18" s="20"/>
      <c r="Q18" s="21"/>
      <c r="R18" s="255">
        <f>SUMIF('EB217'!$V$3:$V$132,O18,'EB217'!$T$3:$T$132)</f>
        <v>0</v>
      </c>
    </row>
    <row r="19" spans="1:18" x14ac:dyDescent="0.25">
      <c r="O19" s="19" t="s">
        <v>10</v>
      </c>
      <c r="P19" s="20"/>
      <c r="Q19" s="21"/>
      <c r="R19" s="255">
        <f>SUMIF('EB217'!$V$3:$V$132,O19,'EB217'!$T$3:$T$132)</f>
        <v>0</v>
      </c>
    </row>
    <row r="20" spans="1:18" ht="15.75" customHeight="1" x14ac:dyDescent="0.25">
      <c r="O20" s="19" t="s">
        <v>31</v>
      </c>
      <c r="P20" s="20"/>
      <c r="Q20" s="21"/>
      <c r="R20" s="255">
        <f>SUMIF('EB217'!$V$3:$V$132,O20,'EB217'!$T$3:$T$132)</f>
        <v>0</v>
      </c>
    </row>
    <row r="21" spans="1:18" ht="27.75" customHeight="1" x14ac:dyDescent="0.25">
      <c r="A21" s="567" t="s">
        <v>62</v>
      </c>
      <c r="B21" s="568"/>
      <c r="C21" s="568"/>
      <c r="D21" s="568"/>
      <c r="E21" s="569"/>
      <c r="O21" s="19" t="s">
        <v>44</v>
      </c>
      <c r="P21" s="20"/>
      <c r="Q21" s="21"/>
      <c r="R21" s="255">
        <f>SUMIF('EB217'!$V$3:$V$132,O21,'EB217'!$T$3:$T$132)</f>
        <v>0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29" t="s">
        <v>23</v>
      </c>
      <c r="O22" s="19" t="s">
        <v>28</v>
      </c>
      <c r="P22" s="20"/>
      <c r="Q22" s="21"/>
      <c r="R22" s="255">
        <f>SUMIF('EB217'!$V$3:$V$132,O22,'EB217'!$T$3:$T$132)</f>
        <v>0</v>
      </c>
    </row>
    <row r="23" spans="1:18" x14ac:dyDescent="0.25">
      <c r="A23" s="301">
        <v>1512027</v>
      </c>
      <c r="B23" s="130">
        <f>VLOOKUP(Table1435[[#This Row],[Shop Order]],'EB217'!A:Y,4,FALSE)</f>
        <v>1266</v>
      </c>
      <c r="C23" s="130">
        <f>VLOOKUP(Table1435[[#This Row],[Shop Order]],'EB217'!A:Y,5,FALSE)</f>
        <v>1107</v>
      </c>
      <c r="D23" s="131">
        <f>VLOOKUP(Table1435[[#This Row],[Shop Order]],'EB217'!A:Y,6,FALSE)</f>
        <v>0.87440758293838861</v>
      </c>
      <c r="E23" s="132">
        <f>VLOOKUP(Table1435[[#This Row],[Shop Order]],'EB217'!A:Y,7,FALSE)</f>
        <v>45301</v>
      </c>
      <c r="O23" s="19" t="s">
        <v>114</v>
      </c>
      <c r="P23" s="20"/>
      <c r="Q23" s="21"/>
      <c r="R23" s="255">
        <f>SUMIF('EB217'!$V$3:$V$132,O23,'EB217'!$T$3:$T$132)</f>
        <v>0</v>
      </c>
    </row>
    <row r="24" spans="1:18" x14ac:dyDescent="0.25">
      <c r="A24" s="301">
        <v>1514191</v>
      </c>
      <c r="B24" s="130">
        <f>VLOOKUP(Table1435[[#This Row],[Shop Order]],'EB217'!A:Y,4,FALSE)</f>
        <v>1229</v>
      </c>
      <c r="C24" s="130">
        <f>VLOOKUP(Table1435[[#This Row],[Shop Order]],'EB217'!A:Y,5,FALSE)</f>
        <v>1102</v>
      </c>
      <c r="D24" s="131">
        <f>VLOOKUP(Table1435[[#This Row],[Shop Order]],'EB217'!A:Y,6,FALSE)</f>
        <v>0.89666395443449964</v>
      </c>
      <c r="E24" s="132">
        <f>VLOOKUP(Table1435[[#This Row],[Shop Order]],'EB217'!A:Y,7,FALSE)</f>
        <v>45301</v>
      </c>
      <c r="G24" s="24"/>
      <c r="O24" s="19" t="s">
        <v>96</v>
      </c>
      <c r="P24" s="20"/>
      <c r="Q24" s="21"/>
      <c r="R24" s="255">
        <f>SUMIF('EB217'!$V$3:$V$132,O24,'EB217'!$T$3:$T$132)</f>
        <v>0</v>
      </c>
    </row>
    <row r="25" spans="1:18" x14ac:dyDescent="0.25">
      <c r="A25" s="301">
        <v>1518004</v>
      </c>
      <c r="B25" s="130">
        <f>VLOOKUP(Table1435[[#This Row],[Shop Order]],'EB217'!A:Y,4,FALSE)</f>
        <v>1210</v>
      </c>
      <c r="C25" s="130">
        <f>VLOOKUP(Table1435[[#This Row],[Shop Order]],'EB217'!A:Y,5,FALSE)</f>
        <v>1118</v>
      </c>
      <c r="D25" s="131">
        <f>VLOOKUP(Table1435[[#This Row],[Shop Order]],'EB217'!A:Y,6,FALSE)</f>
        <v>0.9239669421487603</v>
      </c>
      <c r="E25" s="132">
        <f>VLOOKUP(Table1435[[#This Row],[Shop Order]],'EB217'!A:Y,7,FALSE)</f>
        <v>45366</v>
      </c>
      <c r="O25" s="19" t="s">
        <v>45</v>
      </c>
      <c r="P25" s="20"/>
      <c r="Q25" s="21"/>
      <c r="R25" s="255">
        <f>SUMIF('EB217'!$V$3:$V$132,O25,'EB217'!$T$3:$T$132)</f>
        <v>0</v>
      </c>
    </row>
    <row r="26" spans="1:18" x14ac:dyDescent="0.25">
      <c r="A26" s="301"/>
      <c r="B26" s="130" t="e">
        <f>VLOOKUP(Table1435[[#This Row],[Shop Order]],'EB217'!A:Y,4,FALSE)</f>
        <v>#N/A</v>
      </c>
      <c r="C26" s="130" t="e">
        <f>VLOOKUP(Table1435[[#This Row],[Shop Order]],'EB217'!A:Y,5,FALSE)</f>
        <v>#N/A</v>
      </c>
      <c r="D26" s="131" t="e">
        <f>VLOOKUP(Table1435[[#This Row],[Shop Order]],'EB217'!A:Y,6,FALSE)</f>
        <v>#N/A</v>
      </c>
      <c r="E26" s="132" t="e">
        <f>VLOOKUP(Table1435[[#This Row],[Shop Order]],'EB217'!A:Y,7,FALSE)</f>
        <v>#N/A</v>
      </c>
      <c r="O26" s="19" t="s">
        <v>42</v>
      </c>
      <c r="P26" s="20"/>
      <c r="Q26" s="21"/>
      <c r="R26" s="255">
        <f>SUMIF('EB217'!$V$3:$V$132,O26,'EB217'!$T$3:$T$132)</f>
        <v>0</v>
      </c>
    </row>
    <row r="27" spans="1:18" x14ac:dyDescent="0.25">
      <c r="A27" s="301"/>
      <c r="B27" s="130" t="e">
        <f>VLOOKUP(Table1435[[#This Row],[Shop Order]],'EB217'!A:Y,4,FALSE)</f>
        <v>#N/A</v>
      </c>
      <c r="C27" s="130" t="e">
        <f>VLOOKUP(Table1435[[#This Row],[Shop Order]],'EB217'!A:Y,5,FALSE)</f>
        <v>#N/A</v>
      </c>
      <c r="D27" s="131" t="e">
        <f>VLOOKUP(Table1435[[#This Row],[Shop Order]],'EB217'!A:Y,6,FALSE)</f>
        <v>#N/A</v>
      </c>
      <c r="E27" s="132" t="e">
        <f>VLOOKUP(Table1435[[#This Row],[Shop Order]],'EB217'!A:Y,7,FALSE)</f>
        <v>#N/A</v>
      </c>
      <c r="O27" s="19" t="s">
        <v>40</v>
      </c>
      <c r="P27" s="20"/>
      <c r="Q27" s="21"/>
      <c r="R27" s="255">
        <f>SUMIF('EB217'!$V$3:$V$132,O27,'EB217'!$T$3:$T$132)</f>
        <v>0</v>
      </c>
    </row>
    <row r="28" spans="1:18" ht="15.75" thickBot="1" x14ac:dyDescent="0.3">
      <c r="A28" s="301"/>
      <c r="B28" s="130" t="e">
        <f>VLOOKUP(Table1435[[#This Row],[Shop Order]],'EB217'!A:Y,4,FALSE)</f>
        <v>#N/A</v>
      </c>
      <c r="C28" s="130" t="e">
        <f>VLOOKUP(Table1435[[#This Row],[Shop Order]],'EB217'!A:Y,5,FALSE)</f>
        <v>#N/A</v>
      </c>
      <c r="D28" s="131" t="e">
        <f>VLOOKUP(Table1435[[#This Row],[Shop Order]],'EB217'!A:Y,6,FALSE)</f>
        <v>#N/A</v>
      </c>
      <c r="E28" s="132" t="e">
        <f>VLOOKUP(Table1435[[#This Row],[Shop Order]],'EB217'!A:Y,7,FALSE)</f>
        <v>#N/A</v>
      </c>
      <c r="O28" s="19" t="s">
        <v>36</v>
      </c>
      <c r="P28" s="20"/>
      <c r="Q28" s="21"/>
      <c r="R28" s="255">
        <f>SUMIF('EB217'!$V$3:$V$132,O28,'EB217'!$T$3:$T$132)</f>
        <v>0</v>
      </c>
    </row>
    <row r="29" spans="1:18" ht="15.75" thickBot="1" x14ac:dyDescent="0.3">
      <c r="A29" s="564" t="s">
        <v>49</v>
      </c>
      <c r="B29" s="565"/>
      <c r="C29" s="566"/>
      <c r="D29" s="75">
        <f>AVERAGE(D23:D24)</f>
        <v>0.88553576868644412</v>
      </c>
      <c r="E29" s="26"/>
      <c r="O29" s="31"/>
      <c r="P29" s="31"/>
      <c r="Q29" s="31"/>
      <c r="R29" s="255">
        <f>SUMIF('EB217'!$V$3:$V$132,O29,'EB217'!$T$3:$T$132)</f>
        <v>0</v>
      </c>
    </row>
  </sheetData>
  <autoFilter ref="O4:R4" xr:uid="{00000000-0009-0000-0000-00000F000000}">
    <filterColumn colId="0" showButton="0"/>
    <filterColumn colId="1" showButton="0"/>
    <sortState xmlns:xlrd2="http://schemas.microsoft.com/office/spreadsheetml/2017/richdata2" ref="O5:R29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7" orientation="landscape" r:id="rId1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pageSetUpPr fitToPage="1"/>
  </sheetPr>
  <dimension ref="A1:Q520"/>
  <sheetViews>
    <sheetView topLeftCell="A467" zoomScale="90" zoomScaleNormal="90" workbookViewId="0">
      <selection activeCell="O545" sqref="O545"/>
    </sheetView>
  </sheetViews>
  <sheetFormatPr defaultColWidth="9.140625" defaultRowHeight="15" x14ac:dyDescent="0.25"/>
  <cols>
    <col min="1" max="1" width="10.7109375" style="6" customWidth="1"/>
    <col min="2" max="2" width="8.7109375" style="6" customWidth="1"/>
    <col min="3" max="3" width="7.7109375" style="6" customWidth="1"/>
    <col min="4" max="8" width="9.7109375" style="6" customWidth="1"/>
    <col min="9" max="9" width="9.7109375" style="14" customWidth="1"/>
    <col min="10" max="12" width="9.7109375" style="4" customWidth="1"/>
    <col min="13" max="13" width="8.7109375" style="1" customWidth="1"/>
    <col min="14" max="14" width="8.7109375" style="6" customWidth="1"/>
    <col min="15" max="15" width="35.7109375" style="2" customWidth="1"/>
    <col min="16" max="16" width="10.7109375" style="2" customWidth="1"/>
    <col min="17" max="17" width="45.7109375" style="6" customWidth="1"/>
    <col min="18" max="18" width="9.140625" style="6"/>
    <col min="19" max="19" width="9.7109375" style="6" bestFit="1" customWidth="1"/>
    <col min="20" max="16384" width="9.140625" style="6"/>
  </cols>
  <sheetData>
    <row r="1" spans="1:17" ht="15.75" thickBot="1" x14ac:dyDescent="0.3"/>
    <row r="2" spans="1:17" ht="32.1" customHeight="1" thickBot="1" x14ac:dyDescent="0.3">
      <c r="A2" s="434" t="s">
        <v>249</v>
      </c>
      <c r="B2" s="434" t="s">
        <v>47</v>
      </c>
      <c r="C2" s="434" t="s">
        <v>243</v>
      </c>
      <c r="D2" s="434" t="s">
        <v>242</v>
      </c>
      <c r="E2" s="434" t="s">
        <v>246</v>
      </c>
      <c r="F2" s="434" t="s">
        <v>16</v>
      </c>
      <c r="G2" s="76" t="s">
        <v>1</v>
      </c>
      <c r="H2" s="76" t="s">
        <v>86</v>
      </c>
      <c r="I2" s="435" t="s">
        <v>23</v>
      </c>
      <c r="J2" s="436" t="s">
        <v>266</v>
      </c>
      <c r="K2" s="437" t="s">
        <v>247</v>
      </c>
      <c r="L2" s="434" t="s">
        <v>248</v>
      </c>
      <c r="M2" s="434" t="s">
        <v>4</v>
      </c>
      <c r="N2" s="434" t="s">
        <v>2</v>
      </c>
      <c r="O2" s="434" t="s">
        <v>20</v>
      </c>
      <c r="P2" s="434" t="s">
        <v>69</v>
      </c>
      <c r="Q2" s="438" t="s">
        <v>6</v>
      </c>
    </row>
    <row r="3" spans="1:17" ht="15.75" thickBot="1" x14ac:dyDescent="0.3">
      <c r="A3" s="406">
        <v>1512440</v>
      </c>
      <c r="B3" s="406" t="s">
        <v>244</v>
      </c>
      <c r="C3" s="406" t="s">
        <v>245</v>
      </c>
      <c r="D3" s="406">
        <v>1920</v>
      </c>
      <c r="E3" s="406">
        <v>2054</v>
      </c>
      <c r="F3" s="407">
        <v>1838</v>
      </c>
      <c r="G3" s="408">
        <f>F3/E3</f>
        <v>0.89483933787731251</v>
      </c>
      <c r="H3" s="408">
        <f>$K$52/E3</f>
        <v>6.91333982473223E-2</v>
      </c>
      <c r="I3" s="409">
        <v>45313</v>
      </c>
      <c r="J3" s="410"/>
      <c r="K3" s="410"/>
      <c r="L3" s="411"/>
      <c r="M3" s="412"/>
      <c r="N3" s="413"/>
      <c r="O3" s="414" t="s">
        <v>250</v>
      </c>
      <c r="P3" s="414"/>
      <c r="Q3" s="358"/>
    </row>
    <row r="4" spans="1:17" ht="12.95" customHeight="1" x14ac:dyDescent="0.25">
      <c r="A4" s="139"/>
      <c r="B4" s="140"/>
      <c r="C4" s="140"/>
      <c r="D4" s="140"/>
      <c r="E4" s="140"/>
      <c r="F4" s="140"/>
      <c r="G4" s="141"/>
      <c r="H4" s="141"/>
      <c r="I4" s="190"/>
      <c r="J4" s="490">
        <v>12</v>
      </c>
      <c r="K4" s="486"/>
      <c r="L4" s="390"/>
      <c r="M4" s="446">
        <f t="shared" ref="M4:M14" si="0">SUM(J4,L4)</f>
        <v>12</v>
      </c>
      <c r="N4" s="415">
        <f>M4/$E$3</f>
        <v>5.8422590068159686E-3</v>
      </c>
      <c r="O4" s="417" t="s">
        <v>252</v>
      </c>
      <c r="P4" s="425">
        <v>211</v>
      </c>
      <c r="Q4" s="360" t="s">
        <v>187</v>
      </c>
    </row>
    <row r="5" spans="1:17" ht="12.95" customHeight="1" x14ac:dyDescent="0.25">
      <c r="A5" s="142"/>
      <c r="B5" s="143"/>
      <c r="C5" s="143"/>
      <c r="D5" s="143"/>
      <c r="E5" s="143"/>
      <c r="F5" s="143"/>
      <c r="G5" s="144"/>
      <c r="H5" s="144"/>
      <c r="I5" s="191"/>
      <c r="J5" s="491"/>
      <c r="K5" s="487"/>
      <c r="L5" s="391"/>
      <c r="M5" s="447">
        <f t="shared" si="0"/>
        <v>0</v>
      </c>
      <c r="N5" s="416">
        <f t="shared" ref="N5:N52" si="1">M5/$E$3</f>
        <v>0</v>
      </c>
      <c r="O5" s="418" t="s">
        <v>87</v>
      </c>
      <c r="P5" s="426">
        <v>141</v>
      </c>
      <c r="Q5" s="362"/>
    </row>
    <row r="6" spans="1:17" ht="12.95" customHeight="1" x14ac:dyDescent="0.25">
      <c r="A6" s="142"/>
      <c r="B6" s="143"/>
      <c r="C6" s="143"/>
      <c r="D6" s="143"/>
      <c r="E6" s="143"/>
      <c r="F6" s="143"/>
      <c r="G6" s="144"/>
      <c r="H6" s="144"/>
      <c r="I6" s="191"/>
      <c r="J6" s="491"/>
      <c r="K6" s="488"/>
      <c r="L6" s="392"/>
      <c r="M6" s="447">
        <f t="shared" si="0"/>
        <v>0</v>
      </c>
      <c r="N6" s="416">
        <f t="shared" si="1"/>
        <v>0</v>
      </c>
      <c r="O6" s="419" t="s">
        <v>7</v>
      </c>
      <c r="P6" s="427">
        <v>140</v>
      </c>
      <c r="Q6" s="362"/>
    </row>
    <row r="7" spans="1:17" ht="12.95" customHeight="1" x14ac:dyDescent="0.25">
      <c r="A7" s="142"/>
      <c r="B7" s="143"/>
      <c r="C7" s="143"/>
      <c r="D7" s="143"/>
      <c r="E7" s="143"/>
      <c r="F7" s="143"/>
      <c r="G7" s="144"/>
      <c r="H7" s="144"/>
      <c r="I7" s="191"/>
      <c r="J7" s="491"/>
      <c r="K7" s="487"/>
      <c r="L7" s="392"/>
      <c r="M7" s="447">
        <f t="shared" si="0"/>
        <v>0</v>
      </c>
      <c r="N7" s="416">
        <f t="shared" si="1"/>
        <v>0</v>
      </c>
      <c r="O7" s="419" t="s">
        <v>8</v>
      </c>
      <c r="P7" s="427">
        <v>210</v>
      </c>
      <c r="Q7" s="362"/>
    </row>
    <row r="8" spans="1:17" ht="12.95" customHeight="1" x14ac:dyDescent="0.25">
      <c r="A8" s="142"/>
      <c r="B8" s="143"/>
      <c r="C8" s="143"/>
      <c r="D8" s="143"/>
      <c r="E8" s="143"/>
      <c r="F8" s="143"/>
      <c r="G8" s="144"/>
      <c r="H8" s="144"/>
      <c r="I8" s="191"/>
      <c r="J8" s="491">
        <v>27</v>
      </c>
      <c r="K8" s="488"/>
      <c r="L8" s="392">
        <v>11</v>
      </c>
      <c r="M8" s="447">
        <f t="shared" si="0"/>
        <v>38</v>
      </c>
      <c r="N8" s="416">
        <f t="shared" si="1"/>
        <v>1.8500486854917234E-2</v>
      </c>
      <c r="O8" s="418" t="s">
        <v>15</v>
      </c>
      <c r="P8" s="426">
        <v>355</v>
      </c>
      <c r="Q8" s="362"/>
    </row>
    <row r="9" spans="1:17" ht="12.95" customHeight="1" x14ac:dyDescent="0.25">
      <c r="A9" s="142"/>
      <c r="B9" s="143"/>
      <c r="C9" s="143"/>
      <c r="D9" s="143"/>
      <c r="E9" s="143"/>
      <c r="F9" s="143"/>
      <c r="G9" s="144"/>
      <c r="H9" s="144"/>
      <c r="I9" s="191"/>
      <c r="J9" s="491"/>
      <c r="K9" s="488"/>
      <c r="L9" s="392">
        <v>1</v>
      </c>
      <c r="M9" s="447">
        <f t="shared" si="0"/>
        <v>1</v>
      </c>
      <c r="N9" s="416">
        <f t="shared" si="1"/>
        <v>4.8685491723466409E-4</v>
      </c>
      <c r="O9" s="418" t="s">
        <v>88</v>
      </c>
      <c r="P9" s="426" t="s">
        <v>258</v>
      </c>
      <c r="Q9" s="362"/>
    </row>
    <row r="10" spans="1:17" ht="12.95" customHeight="1" x14ac:dyDescent="0.25">
      <c r="A10" s="142"/>
      <c r="B10" s="143"/>
      <c r="C10" s="143"/>
      <c r="D10" s="143"/>
      <c r="E10" s="143"/>
      <c r="F10" s="143"/>
      <c r="G10" s="144"/>
      <c r="H10" s="144"/>
      <c r="I10" s="191"/>
      <c r="J10" s="491">
        <v>3</v>
      </c>
      <c r="K10" s="487"/>
      <c r="L10" s="392"/>
      <c r="M10" s="447">
        <f t="shared" si="0"/>
        <v>3</v>
      </c>
      <c r="N10" s="416">
        <f t="shared" si="1"/>
        <v>1.4605647517039922E-3</v>
      </c>
      <c r="O10" s="418" t="s">
        <v>34</v>
      </c>
      <c r="P10" s="426">
        <v>176</v>
      </c>
      <c r="Q10" s="362"/>
    </row>
    <row r="11" spans="1:17" ht="12.95" customHeight="1" x14ac:dyDescent="0.25">
      <c r="A11" s="142"/>
      <c r="B11" s="143"/>
      <c r="C11" s="143"/>
      <c r="D11" s="143"/>
      <c r="E11" s="143"/>
      <c r="F11" s="143"/>
      <c r="G11" s="144"/>
      <c r="H11" s="144"/>
      <c r="I11" s="191"/>
      <c r="J11" s="491">
        <v>4</v>
      </c>
      <c r="K11" s="488"/>
      <c r="L11" s="392"/>
      <c r="M11" s="447">
        <f t="shared" si="0"/>
        <v>4</v>
      </c>
      <c r="N11" s="416">
        <f t="shared" si="1"/>
        <v>1.9474196689386564E-3</v>
      </c>
      <c r="O11" s="418" t="s">
        <v>3</v>
      </c>
      <c r="P11" s="426">
        <v>44</v>
      </c>
      <c r="Q11" s="362"/>
    </row>
    <row r="12" spans="1:17" ht="12.95" customHeight="1" x14ac:dyDescent="0.25">
      <c r="A12" s="142"/>
      <c r="B12" s="143"/>
      <c r="C12" s="143"/>
      <c r="D12" s="143"/>
      <c r="E12" s="143"/>
      <c r="F12" s="143"/>
      <c r="G12" s="144"/>
      <c r="H12" s="144"/>
      <c r="I12" s="191"/>
      <c r="J12" s="491"/>
      <c r="K12" s="488"/>
      <c r="L12" s="392"/>
      <c r="M12" s="447">
        <f t="shared" si="0"/>
        <v>0</v>
      </c>
      <c r="N12" s="416">
        <f t="shared" si="1"/>
        <v>0</v>
      </c>
      <c r="O12" s="418" t="s">
        <v>19</v>
      </c>
      <c r="P12" s="426">
        <v>119</v>
      </c>
      <c r="Q12" s="362"/>
    </row>
    <row r="13" spans="1:17" ht="12.95" customHeight="1" x14ac:dyDescent="0.25">
      <c r="A13" s="142"/>
      <c r="B13" s="143"/>
      <c r="C13" s="143"/>
      <c r="D13" s="143"/>
      <c r="E13" s="143"/>
      <c r="F13" s="143"/>
      <c r="G13" s="144"/>
      <c r="H13" s="144"/>
      <c r="I13" s="191"/>
      <c r="J13" s="491">
        <v>1</v>
      </c>
      <c r="K13" s="385"/>
      <c r="L13" s="393"/>
      <c r="M13" s="447">
        <f t="shared" si="0"/>
        <v>1</v>
      </c>
      <c r="N13" s="416">
        <f t="shared" si="1"/>
        <v>4.8685491723466409E-4</v>
      </c>
      <c r="O13" s="418" t="s">
        <v>253</v>
      </c>
      <c r="P13" s="426">
        <v>159</v>
      </c>
      <c r="Q13" s="362"/>
    </row>
    <row r="14" spans="1:17" ht="12.95" customHeight="1" x14ac:dyDescent="0.25">
      <c r="A14" s="142"/>
      <c r="B14" s="143"/>
      <c r="C14" s="143"/>
      <c r="D14" s="143"/>
      <c r="E14" s="143"/>
      <c r="F14" s="143"/>
      <c r="G14" s="144"/>
      <c r="H14" s="144"/>
      <c r="I14" s="191"/>
      <c r="J14" s="491">
        <v>1</v>
      </c>
      <c r="K14" s="487"/>
      <c r="L14" s="392"/>
      <c r="M14" s="447">
        <f t="shared" si="0"/>
        <v>1</v>
      </c>
      <c r="N14" s="416">
        <f t="shared" si="1"/>
        <v>4.8685491723466409E-4</v>
      </c>
      <c r="O14" s="541" t="s">
        <v>108</v>
      </c>
      <c r="P14" s="426">
        <v>117</v>
      </c>
      <c r="Q14" s="362"/>
    </row>
    <row r="15" spans="1:17" ht="12.95" customHeight="1" x14ac:dyDescent="0.25">
      <c r="A15" s="142"/>
      <c r="B15" s="143"/>
      <c r="C15" s="143"/>
      <c r="D15" s="143"/>
      <c r="E15" s="143"/>
      <c r="F15" s="143"/>
      <c r="G15" s="144"/>
      <c r="H15" s="144"/>
      <c r="I15" s="191"/>
      <c r="J15" s="491"/>
      <c r="K15" s="487"/>
      <c r="L15" s="392"/>
      <c r="M15" s="447">
        <f t="shared" ref="M15:M18" si="2">SUM(J15,L15)</f>
        <v>0</v>
      </c>
      <c r="N15" s="416">
        <f t="shared" si="1"/>
        <v>0</v>
      </c>
      <c r="O15" s="418" t="s">
        <v>254</v>
      </c>
      <c r="P15" s="426">
        <v>159</v>
      </c>
      <c r="Q15" s="362"/>
    </row>
    <row r="16" spans="1:17" ht="12.95" customHeight="1" x14ac:dyDescent="0.25">
      <c r="A16" s="142"/>
      <c r="B16" s="143"/>
      <c r="C16" s="143"/>
      <c r="D16" s="143"/>
      <c r="E16" s="143"/>
      <c r="F16" s="143"/>
      <c r="G16" s="144"/>
      <c r="H16" s="144"/>
      <c r="I16" s="191"/>
      <c r="J16" s="491"/>
      <c r="K16" s="487"/>
      <c r="L16" s="392"/>
      <c r="M16" s="447">
        <f t="shared" si="2"/>
        <v>0</v>
      </c>
      <c r="N16" s="416">
        <f t="shared" si="1"/>
        <v>0</v>
      </c>
      <c r="O16" s="418" t="s">
        <v>255</v>
      </c>
      <c r="P16" s="426">
        <v>704</v>
      </c>
      <c r="Q16" s="362"/>
    </row>
    <row r="17" spans="1:17" ht="12.95" customHeight="1" x14ac:dyDescent="0.25">
      <c r="A17" s="142"/>
      <c r="B17" s="143"/>
      <c r="C17" s="143"/>
      <c r="D17" s="143"/>
      <c r="E17" s="143"/>
      <c r="F17" s="143"/>
      <c r="G17" s="144"/>
      <c r="H17" s="144"/>
      <c r="I17" s="191"/>
      <c r="J17" s="491"/>
      <c r="K17" s="487"/>
      <c r="L17" s="392"/>
      <c r="M17" s="447">
        <f t="shared" si="2"/>
        <v>0</v>
      </c>
      <c r="N17" s="416">
        <f t="shared" si="1"/>
        <v>0</v>
      </c>
      <c r="O17" s="418" t="s">
        <v>256</v>
      </c>
      <c r="P17" s="426">
        <v>705</v>
      </c>
      <c r="Q17" s="362"/>
    </row>
    <row r="18" spans="1:17" ht="12.95" customHeight="1" x14ac:dyDescent="0.25">
      <c r="A18" s="142"/>
      <c r="B18" s="143"/>
      <c r="C18" s="143"/>
      <c r="D18" s="143"/>
      <c r="E18" s="143"/>
      <c r="F18" s="143"/>
      <c r="G18" s="144"/>
      <c r="H18" s="144"/>
      <c r="I18" s="191"/>
      <c r="J18" s="491">
        <v>9</v>
      </c>
      <c r="K18" s="487"/>
      <c r="L18" s="392">
        <v>1</v>
      </c>
      <c r="M18" s="447">
        <f t="shared" si="2"/>
        <v>10</v>
      </c>
      <c r="N18" s="416">
        <f t="shared" si="1"/>
        <v>4.8685491723466411E-3</v>
      </c>
      <c r="O18" s="418" t="s">
        <v>27</v>
      </c>
      <c r="P18" s="426">
        <v>58</v>
      </c>
      <c r="Q18" s="362"/>
    </row>
    <row r="19" spans="1:17" ht="12.95" customHeight="1" x14ac:dyDescent="0.25">
      <c r="A19" s="142"/>
      <c r="B19" s="143"/>
      <c r="C19" s="143"/>
      <c r="D19" s="143"/>
      <c r="E19" s="143"/>
      <c r="F19" s="143"/>
      <c r="G19" s="144"/>
      <c r="H19" s="144"/>
      <c r="I19" s="191"/>
      <c r="J19" s="491"/>
      <c r="K19" s="487"/>
      <c r="L19" s="392"/>
      <c r="M19" s="447">
        <f t="shared" ref="M19:M25" si="3">SUM(J19,L19)</f>
        <v>0</v>
      </c>
      <c r="N19" s="416">
        <f t="shared" si="1"/>
        <v>0</v>
      </c>
      <c r="O19" s="418" t="s">
        <v>200</v>
      </c>
      <c r="P19" s="426">
        <v>70</v>
      </c>
      <c r="Q19" s="362"/>
    </row>
    <row r="20" spans="1:17" ht="12.95" customHeight="1" x14ac:dyDescent="0.25">
      <c r="A20" s="142"/>
      <c r="B20" s="143"/>
      <c r="C20" s="143"/>
      <c r="D20" s="143"/>
      <c r="E20" s="143"/>
      <c r="F20" s="143"/>
      <c r="G20" s="144"/>
      <c r="H20" s="144"/>
      <c r="I20" s="191"/>
      <c r="J20" s="491">
        <v>1</v>
      </c>
      <c r="K20" s="492"/>
      <c r="L20" s="394"/>
      <c r="M20" s="447">
        <f t="shared" si="3"/>
        <v>1</v>
      </c>
      <c r="N20" s="416">
        <f t="shared" si="1"/>
        <v>4.8685491723466409E-4</v>
      </c>
      <c r="O20" s="418" t="s">
        <v>35</v>
      </c>
      <c r="P20" s="426">
        <v>65</v>
      </c>
      <c r="Q20" s="362"/>
    </row>
    <row r="21" spans="1:17" ht="12.95" customHeight="1" x14ac:dyDescent="0.25">
      <c r="A21" s="142"/>
      <c r="B21" s="143"/>
      <c r="C21" s="143"/>
      <c r="D21" s="143" t="s">
        <v>100</v>
      </c>
      <c r="E21" s="143"/>
      <c r="F21" s="143"/>
      <c r="G21" s="144"/>
      <c r="H21" s="144"/>
      <c r="I21" s="191"/>
      <c r="J21" s="491"/>
      <c r="K21" s="487"/>
      <c r="L21" s="392"/>
      <c r="M21" s="447">
        <f t="shared" si="3"/>
        <v>0</v>
      </c>
      <c r="N21" s="416">
        <f t="shared" si="1"/>
        <v>0</v>
      </c>
      <c r="O21" s="418" t="s">
        <v>71</v>
      </c>
      <c r="P21" s="426">
        <v>388</v>
      </c>
      <c r="Q21" s="362"/>
    </row>
    <row r="22" spans="1:17" ht="12.95" customHeight="1" x14ac:dyDescent="0.25">
      <c r="A22" s="142"/>
      <c r="B22" s="143"/>
      <c r="C22" s="143"/>
      <c r="D22" s="143"/>
      <c r="E22" s="143"/>
      <c r="F22" s="143"/>
      <c r="G22" s="144"/>
      <c r="H22" s="144"/>
      <c r="I22" s="191"/>
      <c r="J22" s="491"/>
      <c r="K22" s="487"/>
      <c r="L22" s="392">
        <v>3</v>
      </c>
      <c r="M22" s="447">
        <f t="shared" si="3"/>
        <v>3</v>
      </c>
      <c r="N22" s="416">
        <f t="shared" si="1"/>
        <v>1.4605647517039922E-3</v>
      </c>
      <c r="O22" s="418" t="s">
        <v>163</v>
      </c>
      <c r="P22" s="426">
        <v>164</v>
      </c>
      <c r="Q22" s="362"/>
    </row>
    <row r="23" spans="1:17" ht="12.95" customHeight="1" x14ac:dyDescent="0.25">
      <c r="A23" s="142"/>
      <c r="B23" s="143"/>
      <c r="C23" s="143"/>
      <c r="D23" s="143"/>
      <c r="E23" s="143"/>
      <c r="F23" s="143"/>
      <c r="G23" s="144"/>
      <c r="H23" s="144"/>
      <c r="I23" s="191"/>
      <c r="J23" s="491">
        <v>1</v>
      </c>
      <c r="K23" s="487"/>
      <c r="L23" s="392"/>
      <c r="M23" s="447">
        <f t="shared" si="3"/>
        <v>1</v>
      </c>
      <c r="N23" s="416">
        <f t="shared" si="1"/>
        <v>4.8685491723466409E-4</v>
      </c>
      <c r="O23" s="418" t="s">
        <v>271</v>
      </c>
      <c r="P23" s="426">
        <v>159</v>
      </c>
      <c r="Q23" s="362"/>
    </row>
    <row r="24" spans="1:17" ht="12.95" customHeight="1" x14ac:dyDescent="0.25">
      <c r="A24" s="142"/>
      <c r="B24" s="143"/>
      <c r="C24" s="143"/>
      <c r="D24" s="143"/>
      <c r="E24" s="143"/>
      <c r="F24" s="143"/>
      <c r="G24" s="144"/>
      <c r="H24" s="144"/>
      <c r="I24" s="191"/>
      <c r="J24" s="483"/>
      <c r="K24" s="487"/>
      <c r="L24" s="392">
        <v>6</v>
      </c>
      <c r="M24" s="447">
        <f t="shared" si="3"/>
        <v>6</v>
      </c>
      <c r="N24" s="416">
        <f t="shared" si="1"/>
        <v>2.9211295034079843E-3</v>
      </c>
      <c r="O24" s="418" t="s">
        <v>295</v>
      </c>
      <c r="P24" s="426">
        <v>65</v>
      </c>
      <c r="Q24" s="362"/>
    </row>
    <row r="25" spans="1:17" ht="12.95" customHeight="1" thickBot="1" x14ac:dyDescent="0.3">
      <c r="A25" s="142"/>
      <c r="B25" s="143"/>
      <c r="C25" s="143"/>
      <c r="D25" s="143"/>
      <c r="E25" s="143"/>
      <c r="F25" s="143"/>
      <c r="G25" s="144"/>
      <c r="H25" s="144"/>
      <c r="I25" s="191"/>
      <c r="J25" s="483">
        <v>1</v>
      </c>
      <c r="K25" s="493"/>
      <c r="L25" s="392"/>
      <c r="M25" s="447">
        <f t="shared" si="3"/>
        <v>1</v>
      </c>
      <c r="N25" s="453">
        <f t="shared" si="1"/>
        <v>4.8685491723466409E-4</v>
      </c>
      <c r="O25" s="420" t="s">
        <v>80</v>
      </c>
      <c r="P25" s="428">
        <v>46</v>
      </c>
      <c r="Q25" s="362"/>
    </row>
    <row r="26" spans="1:17" ht="12.95" customHeight="1" thickBot="1" x14ac:dyDescent="0.3">
      <c r="A26" s="142"/>
      <c r="B26" s="143"/>
      <c r="C26" s="143"/>
      <c r="D26" s="143"/>
      <c r="E26" s="143"/>
      <c r="F26" s="143"/>
      <c r="G26" s="144"/>
      <c r="H26" s="144"/>
      <c r="I26" s="192"/>
      <c r="J26" s="367"/>
      <c r="K26" s="367"/>
      <c r="L26" s="368"/>
      <c r="M26" s="369"/>
      <c r="N26" s="369"/>
      <c r="O26" s="424" t="s">
        <v>251</v>
      </c>
      <c r="P26" s="375"/>
      <c r="Q26" s="362"/>
    </row>
    <row r="27" spans="1:17" ht="12.95" customHeight="1" x14ac:dyDescent="0.25">
      <c r="A27" s="142"/>
      <c r="B27" s="143"/>
      <c r="C27" s="143"/>
      <c r="D27" s="143"/>
      <c r="E27" s="143"/>
      <c r="F27" s="143"/>
      <c r="G27" s="144"/>
      <c r="H27" s="144"/>
      <c r="I27" s="191"/>
      <c r="J27" s="482"/>
      <c r="K27" s="486">
        <v>10</v>
      </c>
      <c r="L27" s="399"/>
      <c r="M27" s="448">
        <f>SUM(J27,L27)</f>
        <v>0</v>
      </c>
      <c r="N27" s="401">
        <f t="shared" si="1"/>
        <v>0</v>
      </c>
      <c r="O27" s="557" t="s">
        <v>91</v>
      </c>
      <c r="P27" s="443">
        <v>159</v>
      </c>
      <c r="Q27" s="362"/>
    </row>
    <row r="28" spans="1:17" ht="12.95" customHeight="1" x14ac:dyDescent="0.25">
      <c r="A28" s="142"/>
      <c r="B28" s="143"/>
      <c r="C28" s="143"/>
      <c r="D28" s="143"/>
      <c r="E28" s="143"/>
      <c r="F28" s="143"/>
      <c r="G28" s="144"/>
      <c r="H28" s="144"/>
      <c r="I28" s="191"/>
      <c r="J28" s="483"/>
      <c r="K28" s="487">
        <v>11</v>
      </c>
      <c r="L28" s="389"/>
      <c r="M28" s="449">
        <f>SUM(J28,L28)</f>
        <v>0</v>
      </c>
      <c r="N28" s="401">
        <f t="shared" si="1"/>
        <v>0</v>
      </c>
      <c r="O28" s="555" t="s">
        <v>9</v>
      </c>
      <c r="P28" s="444">
        <v>331</v>
      </c>
      <c r="Q28" s="362"/>
    </row>
    <row r="29" spans="1:17" ht="12.95" customHeight="1" x14ac:dyDescent="0.25">
      <c r="A29" s="142"/>
      <c r="B29" s="143"/>
      <c r="C29" s="143"/>
      <c r="D29" s="143"/>
      <c r="E29" s="143"/>
      <c r="F29" s="143"/>
      <c r="G29" s="144"/>
      <c r="H29" s="144"/>
      <c r="I29" s="191"/>
      <c r="J29" s="484"/>
      <c r="K29" s="488"/>
      <c r="L29" s="389"/>
      <c r="M29" s="449">
        <f t="shared" ref="M29:M33" si="4">SUM(J29,L29)</f>
        <v>0</v>
      </c>
      <c r="N29" s="401">
        <f t="shared" si="1"/>
        <v>0</v>
      </c>
      <c r="O29" s="542" t="s">
        <v>80</v>
      </c>
      <c r="P29" s="422">
        <v>46</v>
      </c>
      <c r="Q29" s="362"/>
    </row>
    <row r="30" spans="1:17" ht="12.95" customHeight="1" x14ac:dyDescent="0.25">
      <c r="A30" s="142"/>
      <c r="B30" s="143"/>
      <c r="C30" s="143"/>
      <c r="D30" s="143"/>
      <c r="E30" s="143"/>
      <c r="F30" s="143"/>
      <c r="G30" s="144"/>
      <c r="H30" s="144"/>
      <c r="I30" s="191"/>
      <c r="J30" s="483"/>
      <c r="K30" s="487">
        <v>3</v>
      </c>
      <c r="L30" s="389"/>
      <c r="M30" s="449">
        <f t="shared" si="4"/>
        <v>0</v>
      </c>
      <c r="N30" s="401">
        <f t="shared" si="1"/>
        <v>0</v>
      </c>
      <c r="O30" s="555" t="s">
        <v>92</v>
      </c>
      <c r="P30" s="444">
        <v>159</v>
      </c>
      <c r="Q30" s="456" t="s">
        <v>272</v>
      </c>
    </row>
    <row r="31" spans="1:17" ht="12.95" customHeight="1" x14ac:dyDescent="0.25">
      <c r="A31" s="142"/>
      <c r="B31" s="143"/>
      <c r="C31" s="143"/>
      <c r="D31" s="143"/>
      <c r="E31" s="143"/>
      <c r="F31" s="143"/>
      <c r="G31" s="144"/>
      <c r="H31" s="144"/>
      <c r="I31" s="191"/>
      <c r="J31" s="483"/>
      <c r="K31" s="487">
        <v>3</v>
      </c>
      <c r="L31" s="389"/>
      <c r="M31" s="449">
        <f t="shared" si="4"/>
        <v>0</v>
      </c>
      <c r="N31" s="401">
        <f t="shared" si="1"/>
        <v>0</v>
      </c>
      <c r="O31" s="542" t="s">
        <v>94</v>
      </c>
      <c r="P31" s="422">
        <v>265</v>
      </c>
      <c r="Q31" s="362"/>
    </row>
    <row r="32" spans="1:17" ht="12.95" customHeight="1" x14ac:dyDescent="0.25">
      <c r="A32" s="142"/>
      <c r="B32" s="143"/>
      <c r="C32" s="143"/>
      <c r="D32" s="143"/>
      <c r="E32" s="143"/>
      <c r="F32" s="143"/>
      <c r="G32" s="144"/>
      <c r="H32" s="144"/>
      <c r="I32" s="191"/>
      <c r="J32" s="484"/>
      <c r="K32" s="488">
        <v>109</v>
      </c>
      <c r="L32" s="389"/>
      <c r="M32" s="449">
        <f t="shared" si="4"/>
        <v>0</v>
      </c>
      <c r="N32" s="401">
        <f t="shared" si="1"/>
        <v>0</v>
      </c>
      <c r="O32" s="555" t="s">
        <v>93</v>
      </c>
      <c r="P32" s="444">
        <v>159</v>
      </c>
      <c r="Q32" s="456" t="s">
        <v>273</v>
      </c>
    </row>
    <row r="33" spans="1:17" ht="12.95" customHeight="1" x14ac:dyDescent="0.25">
      <c r="A33" s="142"/>
      <c r="B33" s="143"/>
      <c r="C33" s="143"/>
      <c r="D33" s="143"/>
      <c r="E33" s="143"/>
      <c r="F33" s="143"/>
      <c r="G33" s="144"/>
      <c r="H33" s="144"/>
      <c r="I33" s="191"/>
      <c r="J33" s="483"/>
      <c r="K33" s="487">
        <v>3</v>
      </c>
      <c r="L33" s="389"/>
      <c r="M33" s="449">
        <f t="shared" si="4"/>
        <v>0</v>
      </c>
      <c r="N33" s="401">
        <f t="shared" si="1"/>
        <v>0</v>
      </c>
      <c r="O33" s="555" t="s">
        <v>90</v>
      </c>
      <c r="P33" s="444">
        <v>159</v>
      </c>
      <c r="Q33" s="362"/>
    </row>
    <row r="34" spans="1:17" ht="12.95" customHeight="1" thickBot="1" x14ac:dyDescent="0.3">
      <c r="A34" s="142"/>
      <c r="B34" s="143"/>
      <c r="C34" s="143"/>
      <c r="D34" s="143"/>
      <c r="E34" s="143"/>
      <c r="F34" s="143"/>
      <c r="G34" s="144"/>
      <c r="H34" s="144"/>
      <c r="I34" s="191"/>
      <c r="J34" s="485"/>
      <c r="K34" s="489">
        <v>3</v>
      </c>
      <c r="L34" s="400"/>
      <c r="M34" s="450">
        <f>SUM(J34,L34)</f>
        <v>0</v>
      </c>
      <c r="N34" s="402">
        <f t="shared" si="1"/>
        <v>0</v>
      </c>
      <c r="O34" s="553" t="s">
        <v>181</v>
      </c>
      <c r="P34" s="445">
        <v>159</v>
      </c>
      <c r="Q34" s="362"/>
    </row>
    <row r="35" spans="1:17" ht="12.95" customHeight="1" thickBot="1" x14ac:dyDescent="0.3">
      <c r="A35" s="142"/>
      <c r="B35" s="143"/>
      <c r="C35" s="143"/>
      <c r="D35" s="143"/>
      <c r="E35" s="143"/>
      <c r="F35" s="143"/>
      <c r="G35" s="144"/>
      <c r="H35" s="144"/>
      <c r="I35" s="192"/>
      <c r="J35" s="372"/>
      <c r="K35" s="372"/>
      <c r="L35" s="373"/>
      <c r="M35" s="369"/>
      <c r="N35" s="374"/>
      <c r="O35" s="424" t="s">
        <v>257</v>
      </c>
      <c r="P35" s="375"/>
      <c r="Q35" s="362"/>
    </row>
    <row r="36" spans="1:17" ht="12.95" customHeight="1" x14ac:dyDescent="0.25">
      <c r="A36" s="142"/>
      <c r="B36" s="143"/>
      <c r="C36" s="143"/>
      <c r="D36" s="143"/>
      <c r="E36" s="143"/>
      <c r="F36" s="143"/>
      <c r="G36" s="144"/>
      <c r="H36" s="144"/>
      <c r="I36" s="192"/>
      <c r="J36" s="376">
        <v>13</v>
      </c>
      <c r="K36" s="376"/>
      <c r="L36" s="390"/>
      <c r="M36" s="451">
        <f t="shared" ref="M36:M50" si="5">SUM(J36,L36)</f>
        <v>13</v>
      </c>
      <c r="N36" s="395">
        <f t="shared" si="1"/>
        <v>6.3291139240506328E-3</v>
      </c>
      <c r="O36" s="550" t="s">
        <v>275</v>
      </c>
      <c r="P36" s="421">
        <v>679</v>
      </c>
      <c r="Q36" s="362"/>
    </row>
    <row r="37" spans="1:17" ht="12.95" customHeight="1" x14ac:dyDescent="0.25">
      <c r="A37" s="142"/>
      <c r="B37" s="143"/>
      <c r="C37" s="143"/>
      <c r="D37" s="143"/>
      <c r="E37" s="143" t="s">
        <v>97</v>
      </c>
      <c r="F37" s="143"/>
      <c r="G37" s="144"/>
      <c r="H37" s="144"/>
      <c r="I37" s="192"/>
      <c r="J37" s="370">
        <v>1</v>
      </c>
      <c r="K37" s="365"/>
      <c r="L37" s="392"/>
      <c r="M37" s="451">
        <f t="shared" si="5"/>
        <v>1</v>
      </c>
      <c r="N37" s="396">
        <f t="shared" si="1"/>
        <v>4.8685491723466409E-4</v>
      </c>
      <c r="O37" s="542" t="s">
        <v>277</v>
      </c>
      <c r="P37" s="422">
        <v>65</v>
      </c>
      <c r="Q37" s="362"/>
    </row>
    <row r="38" spans="1:17" ht="12.95" customHeight="1" x14ac:dyDescent="0.25">
      <c r="A38" s="142"/>
      <c r="B38" s="143"/>
      <c r="C38" s="143"/>
      <c r="D38" s="143"/>
      <c r="E38" s="143"/>
      <c r="F38" s="143"/>
      <c r="G38" s="144"/>
      <c r="H38" s="144"/>
      <c r="I38" s="192"/>
      <c r="J38" s="377"/>
      <c r="K38" s="386"/>
      <c r="L38" s="394"/>
      <c r="M38" s="451">
        <f t="shared" si="5"/>
        <v>0</v>
      </c>
      <c r="N38" s="396">
        <f t="shared" si="1"/>
        <v>0</v>
      </c>
      <c r="O38" s="542" t="s">
        <v>182</v>
      </c>
      <c r="P38" s="422">
        <v>46</v>
      </c>
      <c r="Q38" s="362"/>
    </row>
    <row r="39" spans="1:17" ht="12.95" customHeight="1" x14ac:dyDescent="0.25">
      <c r="A39" s="142"/>
      <c r="B39" s="143"/>
      <c r="C39" s="143"/>
      <c r="D39" s="143"/>
      <c r="E39" s="143"/>
      <c r="F39" s="143"/>
      <c r="G39" s="144"/>
      <c r="H39" s="144"/>
      <c r="I39" s="192"/>
      <c r="J39" s="370"/>
      <c r="K39" s="387"/>
      <c r="L39" s="393"/>
      <c r="M39" s="451">
        <f t="shared" si="5"/>
        <v>0</v>
      </c>
      <c r="N39" s="396">
        <f t="shared" si="1"/>
        <v>0</v>
      </c>
      <c r="O39" s="542" t="s">
        <v>174</v>
      </c>
      <c r="P39" s="422">
        <v>388</v>
      </c>
      <c r="Q39" s="362"/>
    </row>
    <row r="40" spans="1:17" ht="12.95" customHeight="1" x14ac:dyDescent="0.25">
      <c r="A40" s="142"/>
      <c r="B40" s="143"/>
      <c r="C40" s="143"/>
      <c r="D40" s="143"/>
      <c r="E40" s="143"/>
      <c r="F40" s="143"/>
      <c r="G40" s="144"/>
      <c r="H40" s="144"/>
      <c r="I40" s="192"/>
      <c r="J40" s="370"/>
      <c r="K40" s="387"/>
      <c r="L40" s="393"/>
      <c r="M40" s="451">
        <f t="shared" si="5"/>
        <v>0</v>
      </c>
      <c r="N40" s="396">
        <f t="shared" si="1"/>
        <v>0</v>
      </c>
      <c r="O40" s="542" t="s">
        <v>117</v>
      </c>
      <c r="P40" s="422">
        <v>388</v>
      </c>
      <c r="Q40" s="362"/>
    </row>
    <row r="41" spans="1:17" ht="12.95" customHeight="1" x14ac:dyDescent="0.25">
      <c r="A41" s="142"/>
      <c r="B41" s="143"/>
      <c r="C41" s="143"/>
      <c r="D41" s="143"/>
      <c r="E41" s="143"/>
      <c r="F41" s="143"/>
      <c r="G41" s="144"/>
      <c r="H41" s="144"/>
      <c r="I41" s="192"/>
      <c r="J41" s="370">
        <v>6</v>
      </c>
      <c r="K41" s="387"/>
      <c r="L41" s="393"/>
      <c r="M41" s="451">
        <f t="shared" si="5"/>
        <v>6</v>
      </c>
      <c r="N41" s="396">
        <f t="shared" si="1"/>
        <v>2.9211295034079843E-3</v>
      </c>
      <c r="O41" s="542" t="s">
        <v>149</v>
      </c>
      <c r="P41" s="422">
        <v>388</v>
      </c>
      <c r="Q41" s="362"/>
    </row>
    <row r="42" spans="1:17" ht="12.95" customHeight="1" x14ac:dyDescent="0.25">
      <c r="A42" s="142"/>
      <c r="B42" s="143"/>
      <c r="C42" s="143"/>
      <c r="D42" s="143"/>
      <c r="E42" s="143"/>
      <c r="F42" s="143"/>
      <c r="G42" s="144"/>
      <c r="H42" s="144"/>
      <c r="I42" s="145"/>
      <c r="J42" s="370">
        <v>1</v>
      </c>
      <c r="K42" s="387"/>
      <c r="L42" s="393"/>
      <c r="M42" s="451">
        <f t="shared" si="5"/>
        <v>1</v>
      </c>
      <c r="N42" s="396">
        <f t="shared" si="1"/>
        <v>4.8685491723466409E-4</v>
      </c>
      <c r="O42" s="542" t="s">
        <v>177</v>
      </c>
      <c r="P42" s="422">
        <v>65</v>
      </c>
      <c r="Q42" s="362"/>
    </row>
    <row r="43" spans="1:17" ht="12.95" customHeight="1" x14ac:dyDescent="0.25">
      <c r="A43" s="142"/>
      <c r="B43" s="143"/>
      <c r="C43" s="143"/>
      <c r="D43" s="143"/>
      <c r="E43" s="143"/>
      <c r="F43" s="143"/>
      <c r="G43" s="144"/>
      <c r="H43" s="144"/>
      <c r="I43" s="145"/>
      <c r="J43" s="379">
        <v>31</v>
      </c>
      <c r="K43" s="387"/>
      <c r="L43" s="385"/>
      <c r="M43" s="451">
        <f t="shared" ref="M43" si="6">SUM(J43,L43)</f>
        <v>31</v>
      </c>
      <c r="N43" s="396">
        <f t="shared" si="1"/>
        <v>1.5092502434274586E-2</v>
      </c>
      <c r="O43" s="541" t="s">
        <v>108</v>
      </c>
      <c r="P43" s="422">
        <v>117</v>
      </c>
      <c r="Q43" s="362"/>
    </row>
    <row r="44" spans="1:17" ht="12.95" customHeight="1" x14ac:dyDescent="0.25">
      <c r="A44" s="142"/>
      <c r="B44" s="143"/>
      <c r="C44" s="143"/>
      <c r="D44" s="143"/>
      <c r="E44" s="143"/>
      <c r="F44" s="143"/>
      <c r="G44" s="144"/>
      <c r="H44" s="144"/>
      <c r="I44" s="145"/>
      <c r="J44" s="379">
        <v>12</v>
      </c>
      <c r="K44" s="387"/>
      <c r="L44" s="385"/>
      <c r="M44" s="451">
        <f t="shared" si="5"/>
        <v>12</v>
      </c>
      <c r="N44" s="396">
        <f t="shared" si="1"/>
        <v>5.8422590068159686E-3</v>
      </c>
      <c r="O44" s="542" t="s">
        <v>118</v>
      </c>
      <c r="P44" s="422">
        <v>665</v>
      </c>
      <c r="Q44" s="362"/>
    </row>
    <row r="45" spans="1:17" ht="12.95" customHeight="1" x14ac:dyDescent="0.25">
      <c r="A45" s="142"/>
      <c r="B45" s="143"/>
      <c r="C45" s="143"/>
      <c r="D45" s="143"/>
      <c r="E45" s="143"/>
      <c r="F45" s="143"/>
      <c r="G45" s="144"/>
      <c r="H45" s="144"/>
      <c r="I45" s="145"/>
      <c r="J45" s="379">
        <v>1</v>
      </c>
      <c r="K45" s="387"/>
      <c r="L45" s="393"/>
      <c r="M45" s="451">
        <f t="shared" si="5"/>
        <v>1</v>
      </c>
      <c r="N45" s="396">
        <f t="shared" si="1"/>
        <v>4.8685491723466409E-4</v>
      </c>
      <c r="O45" s="542" t="s">
        <v>93</v>
      </c>
      <c r="P45" s="422">
        <v>159</v>
      </c>
      <c r="Q45" s="362"/>
    </row>
    <row r="46" spans="1:17" ht="12.95" customHeight="1" x14ac:dyDescent="0.25">
      <c r="A46" s="142"/>
      <c r="B46" s="143"/>
      <c r="C46" s="143"/>
      <c r="D46" s="143"/>
      <c r="E46" s="143"/>
      <c r="F46" s="143"/>
      <c r="G46" s="144"/>
      <c r="H46" s="144"/>
      <c r="I46" s="145"/>
      <c r="J46" s="379">
        <v>1</v>
      </c>
      <c r="K46" s="387"/>
      <c r="L46" s="393"/>
      <c r="M46" s="451">
        <f t="shared" si="5"/>
        <v>1</v>
      </c>
      <c r="N46" s="396">
        <f t="shared" si="1"/>
        <v>4.8685491723466409E-4</v>
      </c>
      <c r="O46" s="542" t="s">
        <v>156</v>
      </c>
      <c r="P46" s="422">
        <v>164</v>
      </c>
      <c r="Q46" s="362"/>
    </row>
    <row r="47" spans="1:17" ht="12.95" customHeight="1" x14ac:dyDescent="0.25">
      <c r="A47" s="142"/>
      <c r="B47" s="143"/>
      <c r="C47" s="143"/>
      <c r="D47" s="143"/>
      <c r="E47" s="143"/>
      <c r="F47" s="143"/>
      <c r="G47" s="144"/>
      <c r="H47" s="144"/>
      <c r="I47" s="145"/>
      <c r="J47" s="379">
        <v>14</v>
      </c>
      <c r="K47" s="387"/>
      <c r="L47" s="393"/>
      <c r="M47" s="451">
        <f t="shared" si="5"/>
        <v>14</v>
      </c>
      <c r="N47" s="396">
        <f t="shared" si="1"/>
        <v>6.815968841285297E-3</v>
      </c>
      <c r="O47" s="542" t="s">
        <v>278</v>
      </c>
      <c r="P47" s="422">
        <v>159</v>
      </c>
      <c r="Q47" s="362"/>
    </row>
    <row r="48" spans="1:17" ht="12.95" customHeight="1" x14ac:dyDescent="0.25">
      <c r="A48" s="142"/>
      <c r="B48" s="143"/>
      <c r="C48" s="143"/>
      <c r="D48" s="143"/>
      <c r="E48" s="143"/>
      <c r="F48" s="143"/>
      <c r="G48" s="144"/>
      <c r="H48" s="144"/>
      <c r="I48" s="145"/>
      <c r="J48" s="379">
        <v>1</v>
      </c>
      <c r="K48" s="387"/>
      <c r="L48" s="393"/>
      <c r="M48" s="451">
        <f t="shared" si="5"/>
        <v>1</v>
      </c>
      <c r="N48" s="396">
        <f t="shared" si="1"/>
        <v>4.8685491723466409E-4</v>
      </c>
      <c r="O48" s="542" t="s">
        <v>183</v>
      </c>
      <c r="P48" s="422">
        <v>159</v>
      </c>
      <c r="Q48" s="362" t="s">
        <v>276</v>
      </c>
    </row>
    <row r="49" spans="1:17" ht="12.95" customHeight="1" x14ac:dyDescent="0.25">
      <c r="A49" s="142"/>
      <c r="B49" s="143"/>
      <c r="C49" s="143"/>
      <c r="D49" s="143"/>
      <c r="E49" s="143"/>
      <c r="F49" s="143"/>
      <c r="G49" s="144"/>
      <c r="H49" s="144"/>
      <c r="I49" s="145"/>
      <c r="J49" s="370">
        <v>2</v>
      </c>
      <c r="K49" s="387"/>
      <c r="L49" s="393"/>
      <c r="M49" s="451">
        <f t="shared" si="5"/>
        <v>2</v>
      </c>
      <c r="N49" s="396">
        <f t="shared" si="1"/>
        <v>9.7370983446932818E-4</v>
      </c>
      <c r="O49" s="542" t="s">
        <v>85</v>
      </c>
      <c r="P49" s="422">
        <v>43</v>
      </c>
      <c r="Q49" s="362" t="s">
        <v>279</v>
      </c>
    </row>
    <row r="50" spans="1:17" ht="12.95" customHeight="1" x14ac:dyDescent="0.25">
      <c r="A50" s="142"/>
      <c r="B50" s="143"/>
      <c r="C50" s="143"/>
      <c r="D50" s="143"/>
      <c r="E50" s="143"/>
      <c r="F50" s="143"/>
      <c r="G50" s="144"/>
      <c r="H50" s="144"/>
      <c r="I50" s="145"/>
      <c r="J50" s="370">
        <v>51</v>
      </c>
      <c r="K50" s="387"/>
      <c r="L50" s="393"/>
      <c r="M50" s="451">
        <f t="shared" si="5"/>
        <v>51</v>
      </c>
      <c r="N50" s="396">
        <f t="shared" si="1"/>
        <v>2.4829600778967866E-2</v>
      </c>
      <c r="O50" s="542" t="s">
        <v>184</v>
      </c>
      <c r="P50" s="422">
        <v>639</v>
      </c>
      <c r="Q50" s="362" t="s">
        <v>274</v>
      </c>
    </row>
    <row r="51" spans="1:17" ht="12.95" customHeight="1" thickBot="1" x14ac:dyDescent="0.3">
      <c r="A51" s="150"/>
      <c r="B51" s="151"/>
      <c r="C51" s="151"/>
      <c r="D51" s="151"/>
      <c r="E51" s="151"/>
      <c r="F51" s="151"/>
      <c r="G51" s="152"/>
      <c r="H51" s="152"/>
      <c r="I51" s="153"/>
      <c r="J51" s="380"/>
      <c r="K51" s="388"/>
      <c r="L51" s="404"/>
      <c r="M51" s="452">
        <v>0</v>
      </c>
      <c r="N51" s="397">
        <f t="shared" si="1"/>
        <v>0</v>
      </c>
      <c r="O51" s="551" t="s">
        <v>185</v>
      </c>
      <c r="P51" s="423">
        <v>43</v>
      </c>
      <c r="Q51" s="381"/>
    </row>
    <row r="52" spans="1:17" ht="12.95" customHeight="1" thickBot="1" x14ac:dyDescent="0.3">
      <c r="I52" s="154" t="s">
        <v>4</v>
      </c>
      <c r="J52" s="382">
        <f>SUM(J4:J51)</f>
        <v>194</v>
      </c>
      <c r="K52" s="382">
        <f>SUM(K4:K51)</f>
        <v>142</v>
      </c>
      <c r="L52" s="382">
        <f>SUM(L4:L51)</f>
        <v>22</v>
      </c>
      <c r="M52" s="403">
        <f>SUM(M4:M51)</f>
        <v>216</v>
      </c>
      <c r="N52" s="398">
        <f t="shared" si="1"/>
        <v>0.10516066212268745</v>
      </c>
      <c r="O52" s="383"/>
      <c r="P52" s="383"/>
      <c r="Q52" s="384"/>
    </row>
    <row r="54" spans="1:17" ht="15.75" thickBot="1" x14ac:dyDescent="0.3"/>
    <row r="55" spans="1:17" ht="32.1" customHeight="1" thickBot="1" x14ac:dyDescent="0.3">
      <c r="A55" s="434" t="s">
        <v>249</v>
      </c>
      <c r="B55" s="434" t="s">
        <v>47</v>
      </c>
      <c r="C55" s="434" t="s">
        <v>243</v>
      </c>
      <c r="D55" s="434" t="s">
        <v>242</v>
      </c>
      <c r="E55" s="434" t="s">
        <v>246</v>
      </c>
      <c r="F55" s="434" t="s">
        <v>16</v>
      </c>
      <c r="G55" s="76" t="s">
        <v>1</v>
      </c>
      <c r="H55" s="76" t="s">
        <v>86</v>
      </c>
      <c r="I55" s="435" t="s">
        <v>23</v>
      </c>
      <c r="J55" s="436" t="s">
        <v>266</v>
      </c>
      <c r="K55" s="437" t="s">
        <v>247</v>
      </c>
      <c r="L55" s="434" t="s">
        <v>248</v>
      </c>
      <c r="M55" s="434" t="s">
        <v>4</v>
      </c>
      <c r="N55" s="434" t="s">
        <v>2</v>
      </c>
      <c r="O55" s="434" t="s">
        <v>20</v>
      </c>
      <c r="P55" s="434" t="s">
        <v>69</v>
      </c>
      <c r="Q55" s="438" t="s">
        <v>6</v>
      </c>
    </row>
    <row r="56" spans="1:17" ht="15.75" thickBot="1" x14ac:dyDescent="0.3">
      <c r="A56" s="406">
        <v>1514356</v>
      </c>
      <c r="B56" s="406" t="s">
        <v>244</v>
      </c>
      <c r="C56" s="406" t="s">
        <v>300</v>
      </c>
      <c r="D56" s="406">
        <v>1920</v>
      </c>
      <c r="E56" s="406">
        <v>1985</v>
      </c>
      <c r="F56" s="407">
        <v>1835</v>
      </c>
      <c r="G56" s="408">
        <f>F56/E56</f>
        <v>0.92443324937027704</v>
      </c>
      <c r="H56" s="408">
        <f>$K$52/E56</f>
        <v>7.1536523929471033E-2</v>
      </c>
      <c r="I56" s="409">
        <v>45323</v>
      </c>
      <c r="J56" s="410"/>
      <c r="K56" s="410"/>
      <c r="L56" s="411"/>
      <c r="M56" s="412"/>
      <c r="N56" s="413"/>
      <c r="O56" s="414" t="s">
        <v>250</v>
      </c>
      <c r="P56" s="414"/>
      <c r="Q56" s="358"/>
    </row>
    <row r="57" spans="1:17" ht="12.95" customHeight="1" x14ac:dyDescent="0.25">
      <c r="A57" s="139"/>
      <c r="B57" s="140"/>
      <c r="C57" s="140"/>
      <c r="D57" s="140"/>
      <c r="E57" s="140"/>
      <c r="F57" s="140"/>
      <c r="G57" s="141"/>
      <c r="H57" s="141"/>
      <c r="I57" s="190"/>
      <c r="J57" s="490">
        <v>13</v>
      </c>
      <c r="K57" s="486"/>
      <c r="L57" s="390">
        <v>3</v>
      </c>
      <c r="M57" s="446">
        <f t="shared" ref="M57:M78" si="7">SUM(J57,L57)</f>
        <v>16</v>
      </c>
      <c r="N57" s="415">
        <f>M57/$E$56</f>
        <v>8.0604534005037781E-3</v>
      </c>
      <c r="O57" s="417" t="s">
        <v>252</v>
      </c>
      <c r="P57" s="425">
        <v>211</v>
      </c>
      <c r="Q57" s="360" t="s">
        <v>187</v>
      </c>
    </row>
    <row r="58" spans="1:17" ht="12.95" customHeight="1" x14ac:dyDescent="0.25">
      <c r="A58" s="142"/>
      <c r="B58" s="143"/>
      <c r="C58" s="143"/>
      <c r="D58" s="143"/>
      <c r="E58" s="143"/>
      <c r="F58" s="143"/>
      <c r="G58" s="144"/>
      <c r="H58" s="144"/>
      <c r="I58" s="191"/>
      <c r="J58" s="491">
        <v>7</v>
      </c>
      <c r="K58" s="487"/>
      <c r="L58" s="391"/>
      <c r="M58" s="447">
        <f t="shared" si="7"/>
        <v>7</v>
      </c>
      <c r="N58" s="416">
        <f>M58/$E$56</f>
        <v>3.5264483627204029E-3</v>
      </c>
      <c r="O58" s="418" t="s">
        <v>87</v>
      </c>
      <c r="P58" s="426">
        <v>141</v>
      </c>
      <c r="Q58" s="362"/>
    </row>
    <row r="59" spans="1:17" ht="12.95" customHeight="1" x14ac:dyDescent="0.25">
      <c r="A59" s="142"/>
      <c r="B59" s="143"/>
      <c r="C59" s="143"/>
      <c r="D59" s="143"/>
      <c r="E59" s="143"/>
      <c r="F59" s="143"/>
      <c r="G59" s="144"/>
      <c r="H59" s="144"/>
      <c r="I59" s="191"/>
      <c r="J59" s="491"/>
      <c r="K59" s="488"/>
      <c r="L59" s="392"/>
      <c r="M59" s="447">
        <f t="shared" si="7"/>
        <v>0</v>
      </c>
      <c r="N59" s="416">
        <f t="shared" ref="N59:N76" si="8">M59/$E$56</f>
        <v>0</v>
      </c>
      <c r="O59" s="419" t="s">
        <v>7</v>
      </c>
      <c r="P59" s="427">
        <v>140</v>
      </c>
      <c r="Q59" s="362"/>
    </row>
    <row r="60" spans="1:17" ht="12.95" customHeight="1" x14ac:dyDescent="0.25">
      <c r="A60" s="142"/>
      <c r="B60" s="143"/>
      <c r="C60" s="143"/>
      <c r="D60" s="143"/>
      <c r="E60" s="143"/>
      <c r="F60" s="143"/>
      <c r="G60" s="144"/>
      <c r="H60" s="144"/>
      <c r="I60" s="191"/>
      <c r="J60" s="491"/>
      <c r="K60" s="487"/>
      <c r="L60" s="392"/>
      <c r="M60" s="447">
        <f t="shared" si="7"/>
        <v>0</v>
      </c>
      <c r="N60" s="416">
        <f t="shared" si="8"/>
        <v>0</v>
      </c>
      <c r="O60" s="419" t="s">
        <v>8</v>
      </c>
      <c r="P60" s="427">
        <v>210</v>
      </c>
      <c r="Q60" s="362"/>
    </row>
    <row r="61" spans="1:17" ht="12.95" customHeight="1" x14ac:dyDescent="0.25">
      <c r="A61" s="142"/>
      <c r="B61" s="143"/>
      <c r="C61" s="143"/>
      <c r="D61" s="143"/>
      <c r="E61" s="143"/>
      <c r="F61" s="143"/>
      <c r="G61" s="144"/>
      <c r="H61" s="144"/>
      <c r="I61" s="191"/>
      <c r="J61" s="491">
        <v>35</v>
      </c>
      <c r="K61" s="488"/>
      <c r="L61" s="392">
        <v>2</v>
      </c>
      <c r="M61" s="447">
        <f t="shared" si="7"/>
        <v>37</v>
      </c>
      <c r="N61" s="416">
        <f t="shared" si="8"/>
        <v>1.8639798488664986E-2</v>
      </c>
      <c r="O61" s="418" t="s">
        <v>15</v>
      </c>
      <c r="P61" s="426">
        <v>355</v>
      </c>
      <c r="Q61" s="362"/>
    </row>
    <row r="62" spans="1:17" ht="12.95" customHeight="1" x14ac:dyDescent="0.25">
      <c r="A62" s="142"/>
      <c r="B62" s="143"/>
      <c r="C62" s="143"/>
      <c r="D62" s="143"/>
      <c r="E62" s="143"/>
      <c r="F62" s="143"/>
      <c r="G62" s="144"/>
      <c r="H62" s="144"/>
      <c r="I62" s="191"/>
      <c r="J62" s="491"/>
      <c r="K62" s="488"/>
      <c r="L62" s="392"/>
      <c r="M62" s="447">
        <f t="shared" si="7"/>
        <v>0</v>
      </c>
      <c r="N62" s="416">
        <f t="shared" si="8"/>
        <v>0</v>
      </c>
      <c r="O62" s="418" t="s">
        <v>88</v>
      </c>
      <c r="P62" s="426" t="s">
        <v>258</v>
      </c>
      <c r="Q62" s="362"/>
    </row>
    <row r="63" spans="1:17" ht="12.95" customHeight="1" x14ac:dyDescent="0.25">
      <c r="A63" s="142"/>
      <c r="B63" s="143"/>
      <c r="C63" s="143"/>
      <c r="D63" s="143"/>
      <c r="E63" s="143"/>
      <c r="F63" s="143"/>
      <c r="G63" s="144"/>
      <c r="H63" s="144"/>
      <c r="I63" s="191"/>
      <c r="J63" s="491">
        <v>2</v>
      </c>
      <c r="K63" s="487"/>
      <c r="L63" s="392"/>
      <c r="M63" s="447">
        <f t="shared" si="7"/>
        <v>2</v>
      </c>
      <c r="N63" s="416">
        <f t="shared" si="8"/>
        <v>1.0075566750629723E-3</v>
      </c>
      <c r="O63" s="418" t="s">
        <v>34</v>
      </c>
      <c r="P63" s="426">
        <v>176</v>
      </c>
      <c r="Q63" s="362"/>
    </row>
    <row r="64" spans="1:17" ht="12.95" customHeight="1" x14ac:dyDescent="0.25">
      <c r="A64" s="142"/>
      <c r="B64" s="143"/>
      <c r="C64" s="143"/>
      <c r="D64" s="143"/>
      <c r="E64" s="143"/>
      <c r="F64" s="143"/>
      <c r="G64" s="144"/>
      <c r="H64" s="144"/>
      <c r="I64" s="191"/>
      <c r="J64" s="491">
        <v>3</v>
      </c>
      <c r="K64" s="488"/>
      <c r="L64" s="392">
        <v>3</v>
      </c>
      <c r="M64" s="447">
        <f t="shared" si="7"/>
        <v>6</v>
      </c>
      <c r="N64" s="416">
        <f t="shared" si="8"/>
        <v>3.0226700251889168E-3</v>
      </c>
      <c r="O64" s="418" t="s">
        <v>3</v>
      </c>
      <c r="P64" s="426">
        <v>44</v>
      </c>
      <c r="Q64" s="362"/>
    </row>
    <row r="65" spans="1:17" ht="12.95" customHeight="1" x14ac:dyDescent="0.25">
      <c r="A65" s="142"/>
      <c r="B65" s="143"/>
      <c r="C65" s="143"/>
      <c r="D65" s="143"/>
      <c r="E65" s="143"/>
      <c r="F65" s="143"/>
      <c r="G65" s="144"/>
      <c r="H65" s="144"/>
      <c r="I65" s="191"/>
      <c r="J65" s="491"/>
      <c r="K65" s="488"/>
      <c r="L65" s="392"/>
      <c r="M65" s="447">
        <f t="shared" si="7"/>
        <v>0</v>
      </c>
      <c r="N65" s="416">
        <f t="shared" si="8"/>
        <v>0</v>
      </c>
      <c r="O65" s="418" t="s">
        <v>19</v>
      </c>
      <c r="P65" s="426">
        <v>119</v>
      </c>
      <c r="Q65" s="362"/>
    </row>
    <row r="66" spans="1:17" ht="12.95" customHeight="1" x14ac:dyDescent="0.25">
      <c r="A66" s="142"/>
      <c r="B66" s="143"/>
      <c r="C66" s="143"/>
      <c r="D66" s="143"/>
      <c r="E66" s="143"/>
      <c r="F66" s="143"/>
      <c r="G66" s="144"/>
      <c r="H66" s="144"/>
      <c r="I66" s="191"/>
      <c r="J66" s="491">
        <v>2</v>
      </c>
      <c r="K66" s="385"/>
      <c r="L66" s="393"/>
      <c r="M66" s="447">
        <f t="shared" si="7"/>
        <v>2</v>
      </c>
      <c r="N66" s="416">
        <f t="shared" si="8"/>
        <v>1.0075566750629723E-3</v>
      </c>
      <c r="O66" s="418" t="s">
        <v>301</v>
      </c>
      <c r="P66" s="426">
        <v>65</v>
      </c>
      <c r="Q66" s="362"/>
    </row>
    <row r="67" spans="1:17" ht="12.95" customHeight="1" x14ac:dyDescent="0.25">
      <c r="A67" s="142"/>
      <c r="B67" s="143"/>
      <c r="C67" s="143"/>
      <c r="D67" s="143"/>
      <c r="E67" s="143"/>
      <c r="F67" s="143"/>
      <c r="G67" s="144"/>
      <c r="H67" s="144"/>
      <c r="I67" s="191"/>
      <c r="J67" s="491"/>
      <c r="K67" s="487"/>
      <c r="L67" s="392"/>
      <c r="M67" s="447">
        <f t="shared" si="7"/>
        <v>0</v>
      </c>
      <c r="N67" s="416">
        <f t="shared" si="8"/>
        <v>0</v>
      </c>
      <c r="O67" s="541" t="s">
        <v>108</v>
      </c>
      <c r="P67" s="426">
        <v>117</v>
      </c>
      <c r="Q67" s="362"/>
    </row>
    <row r="68" spans="1:17" ht="12.95" customHeight="1" x14ac:dyDescent="0.25">
      <c r="A68" s="142"/>
      <c r="B68" s="143"/>
      <c r="C68" s="143"/>
      <c r="D68" s="143"/>
      <c r="E68" s="143"/>
      <c r="F68" s="143"/>
      <c r="G68" s="144"/>
      <c r="H68" s="144"/>
      <c r="I68" s="191"/>
      <c r="J68" s="491"/>
      <c r="K68" s="487"/>
      <c r="L68" s="392"/>
      <c r="M68" s="447">
        <f t="shared" si="7"/>
        <v>0</v>
      </c>
      <c r="N68" s="416">
        <f t="shared" si="8"/>
        <v>0</v>
      </c>
      <c r="O68" s="418" t="s">
        <v>254</v>
      </c>
      <c r="P68" s="426">
        <v>159</v>
      </c>
      <c r="Q68" s="362"/>
    </row>
    <row r="69" spans="1:17" ht="12.95" customHeight="1" x14ac:dyDescent="0.25">
      <c r="A69" s="142"/>
      <c r="B69" s="143"/>
      <c r="C69" s="143"/>
      <c r="D69" s="143"/>
      <c r="E69" s="143"/>
      <c r="F69" s="143"/>
      <c r="G69" s="144"/>
      <c r="H69" s="144"/>
      <c r="I69" s="191"/>
      <c r="J69" s="491"/>
      <c r="K69" s="487"/>
      <c r="L69" s="392"/>
      <c r="M69" s="447">
        <f t="shared" si="7"/>
        <v>0</v>
      </c>
      <c r="N69" s="416">
        <f t="shared" si="8"/>
        <v>0</v>
      </c>
      <c r="O69" s="418" t="s">
        <v>255</v>
      </c>
      <c r="P69" s="426">
        <v>704</v>
      </c>
      <c r="Q69" s="362"/>
    </row>
    <row r="70" spans="1:17" ht="12.95" customHeight="1" x14ac:dyDescent="0.25">
      <c r="A70" s="142"/>
      <c r="B70" s="143"/>
      <c r="C70" s="143"/>
      <c r="D70" s="143"/>
      <c r="E70" s="143"/>
      <c r="F70" s="143"/>
      <c r="G70" s="144"/>
      <c r="H70" s="144"/>
      <c r="I70" s="191"/>
      <c r="J70" s="491"/>
      <c r="K70" s="487"/>
      <c r="L70" s="392"/>
      <c r="M70" s="447">
        <f t="shared" si="7"/>
        <v>0</v>
      </c>
      <c r="N70" s="416">
        <f t="shared" si="8"/>
        <v>0</v>
      </c>
      <c r="O70" s="418" t="s">
        <v>256</v>
      </c>
      <c r="P70" s="426">
        <v>705</v>
      </c>
      <c r="Q70" s="362"/>
    </row>
    <row r="71" spans="1:17" ht="12.95" customHeight="1" x14ac:dyDescent="0.25">
      <c r="A71" s="142"/>
      <c r="B71" s="143"/>
      <c r="C71" s="143"/>
      <c r="D71" s="143"/>
      <c r="E71" s="143"/>
      <c r="F71" s="143"/>
      <c r="G71" s="144"/>
      <c r="H71" s="144"/>
      <c r="I71" s="191"/>
      <c r="J71" s="491">
        <v>3</v>
      </c>
      <c r="K71" s="487"/>
      <c r="L71" s="392"/>
      <c r="M71" s="447">
        <f t="shared" si="7"/>
        <v>3</v>
      </c>
      <c r="N71" s="416">
        <f t="shared" si="8"/>
        <v>1.5113350125944584E-3</v>
      </c>
      <c r="O71" s="418" t="s">
        <v>27</v>
      </c>
      <c r="P71" s="426">
        <v>58</v>
      </c>
      <c r="Q71" s="362"/>
    </row>
    <row r="72" spans="1:17" ht="12.95" customHeight="1" x14ac:dyDescent="0.25">
      <c r="A72" s="142"/>
      <c r="B72" s="143"/>
      <c r="C72" s="143"/>
      <c r="D72" s="143"/>
      <c r="E72" s="143"/>
      <c r="F72" s="143"/>
      <c r="G72" s="144"/>
      <c r="H72" s="144"/>
      <c r="I72" s="191"/>
      <c r="J72" s="491"/>
      <c r="K72" s="487"/>
      <c r="L72" s="392"/>
      <c r="M72" s="447">
        <f t="shared" si="7"/>
        <v>0</v>
      </c>
      <c r="N72" s="416">
        <f t="shared" si="8"/>
        <v>0</v>
      </c>
      <c r="O72" s="418" t="s">
        <v>200</v>
      </c>
      <c r="P72" s="426">
        <v>70</v>
      </c>
      <c r="Q72" s="362"/>
    </row>
    <row r="73" spans="1:17" ht="12.95" customHeight="1" x14ac:dyDescent="0.25">
      <c r="A73" s="142"/>
      <c r="B73" s="143"/>
      <c r="C73" s="143"/>
      <c r="D73" s="143"/>
      <c r="E73" s="143"/>
      <c r="F73" s="143"/>
      <c r="G73" s="144"/>
      <c r="H73" s="144"/>
      <c r="I73" s="191"/>
      <c r="J73" s="491"/>
      <c r="K73" s="492"/>
      <c r="L73" s="394">
        <v>1</v>
      </c>
      <c r="M73" s="447">
        <f t="shared" si="7"/>
        <v>1</v>
      </c>
      <c r="N73" s="416">
        <f t="shared" si="8"/>
        <v>5.0377833753148613E-4</v>
      </c>
      <c r="O73" s="418" t="s">
        <v>35</v>
      </c>
      <c r="P73" s="426">
        <v>65</v>
      </c>
      <c r="Q73" s="362"/>
    </row>
    <row r="74" spans="1:17" ht="12.95" customHeight="1" x14ac:dyDescent="0.25">
      <c r="A74" s="142"/>
      <c r="B74" s="143"/>
      <c r="C74" s="143"/>
      <c r="D74" s="143" t="s">
        <v>100</v>
      </c>
      <c r="E74" s="143"/>
      <c r="F74" s="143"/>
      <c r="G74" s="144"/>
      <c r="H74" s="144"/>
      <c r="I74" s="191"/>
      <c r="J74" s="491">
        <v>1</v>
      </c>
      <c r="K74" s="487"/>
      <c r="L74" s="392">
        <v>1</v>
      </c>
      <c r="M74" s="447">
        <f t="shared" si="7"/>
        <v>2</v>
      </c>
      <c r="N74" s="416">
        <f t="shared" si="8"/>
        <v>1.0075566750629723E-3</v>
      </c>
      <c r="O74" s="418" t="s">
        <v>71</v>
      </c>
      <c r="P74" s="426">
        <v>388</v>
      </c>
      <c r="Q74" s="362"/>
    </row>
    <row r="75" spans="1:17" ht="12.95" customHeight="1" x14ac:dyDescent="0.25">
      <c r="A75" s="142"/>
      <c r="B75" s="143"/>
      <c r="C75" s="143"/>
      <c r="D75" s="143"/>
      <c r="E75" s="143"/>
      <c r="F75" s="143"/>
      <c r="G75" s="144"/>
      <c r="H75" s="144"/>
      <c r="I75" s="191"/>
      <c r="J75" s="491"/>
      <c r="K75" s="487"/>
      <c r="L75" s="392"/>
      <c r="M75" s="447">
        <f t="shared" si="7"/>
        <v>0</v>
      </c>
      <c r="N75" s="416">
        <f t="shared" si="8"/>
        <v>0</v>
      </c>
      <c r="O75" s="418" t="s">
        <v>163</v>
      </c>
      <c r="P75" s="426">
        <v>164</v>
      </c>
      <c r="Q75" s="362"/>
    </row>
    <row r="76" spans="1:17" ht="12.95" customHeight="1" x14ac:dyDescent="0.25">
      <c r="A76" s="142"/>
      <c r="B76" s="143"/>
      <c r="C76" s="143"/>
      <c r="D76" s="143"/>
      <c r="E76" s="143"/>
      <c r="F76" s="143"/>
      <c r="G76" s="144"/>
      <c r="H76" s="144"/>
      <c r="I76" s="191"/>
      <c r="J76" s="491">
        <v>1</v>
      </c>
      <c r="K76" s="487"/>
      <c r="L76" s="392"/>
      <c r="M76" s="447">
        <f t="shared" si="7"/>
        <v>1</v>
      </c>
      <c r="N76" s="416">
        <f t="shared" si="8"/>
        <v>5.0377833753148613E-4</v>
      </c>
      <c r="O76" s="418" t="s">
        <v>12</v>
      </c>
      <c r="P76" s="426">
        <v>159</v>
      </c>
      <c r="Q76" s="362"/>
    </row>
    <row r="77" spans="1:17" ht="12.95" customHeight="1" x14ac:dyDescent="0.25">
      <c r="A77" s="142"/>
      <c r="B77" s="143"/>
      <c r="C77" s="143"/>
      <c r="D77" s="143"/>
      <c r="E77" s="143"/>
      <c r="F77" s="143"/>
      <c r="G77" s="144"/>
      <c r="H77" s="144"/>
      <c r="I77" s="191"/>
      <c r="J77" s="483"/>
      <c r="K77" s="487"/>
      <c r="L77" s="392">
        <v>4</v>
      </c>
      <c r="M77" s="447">
        <f t="shared" si="7"/>
        <v>4</v>
      </c>
      <c r="N77" s="416">
        <f>M77/$E$56</f>
        <v>2.0151133501259445E-3</v>
      </c>
      <c r="O77" s="418" t="s">
        <v>295</v>
      </c>
      <c r="P77" s="426">
        <v>65</v>
      </c>
      <c r="Q77" s="362"/>
    </row>
    <row r="78" spans="1:17" ht="12.95" customHeight="1" thickBot="1" x14ac:dyDescent="0.3">
      <c r="A78" s="142"/>
      <c r="B78" s="143"/>
      <c r="C78" s="143"/>
      <c r="D78" s="143"/>
      <c r="E78" s="143"/>
      <c r="F78" s="143"/>
      <c r="G78" s="144"/>
      <c r="H78" s="144"/>
      <c r="I78" s="191"/>
      <c r="J78" s="483">
        <v>2</v>
      </c>
      <c r="K78" s="493"/>
      <c r="L78" s="392">
        <v>2</v>
      </c>
      <c r="M78" s="447">
        <f t="shared" si="7"/>
        <v>4</v>
      </c>
      <c r="N78" s="453">
        <f>M78/$E$56</f>
        <v>2.0151133501259445E-3</v>
      </c>
      <c r="O78" s="420" t="s">
        <v>80</v>
      </c>
      <c r="P78" s="428">
        <v>46</v>
      </c>
      <c r="Q78" s="362"/>
    </row>
    <row r="79" spans="1:17" ht="12.95" customHeight="1" thickBot="1" x14ac:dyDescent="0.3">
      <c r="A79" s="142"/>
      <c r="B79" s="143"/>
      <c r="C79" s="143"/>
      <c r="D79" s="143"/>
      <c r="E79" s="143"/>
      <c r="F79" s="143"/>
      <c r="G79" s="144"/>
      <c r="H79" s="144"/>
      <c r="I79" s="192"/>
      <c r="J79" s="367"/>
      <c r="K79" s="367"/>
      <c r="L79" s="368"/>
      <c r="M79" s="369"/>
      <c r="N79" s="369"/>
      <c r="O79" s="424" t="s">
        <v>251</v>
      </c>
      <c r="P79" s="375"/>
      <c r="Q79" s="362"/>
    </row>
    <row r="80" spans="1:17" ht="12.95" customHeight="1" x14ac:dyDescent="0.25">
      <c r="A80" s="142"/>
      <c r="B80" s="143"/>
      <c r="C80" s="143"/>
      <c r="D80" s="143"/>
      <c r="E80" s="143"/>
      <c r="F80" s="143"/>
      <c r="G80" s="144"/>
      <c r="H80" s="144"/>
      <c r="I80" s="191"/>
      <c r="J80" s="482"/>
      <c r="K80" s="486">
        <v>12</v>
      </c>
      <c r="L80" s="399"/>
      <c r="M80" s="448">
        <f>SUM(J80,L80)</f>
        <v>0</v>
      </c>
      <c r="N80" s="401">
        <f>M80/$E$56</f>
        <v>0</v>
      </c>
      <c r="O80" s="557" t="s">
        <v>91</v>
      </c>
      <c r="P80" s="443">
        <v>159</v>
      </c>
      <c r="Q80" s="362"/>
    </row>
    <row r="81" spans="1:17" ht="12.95" customHeight="1" x14ac:dyDescent="0.25">
      <c r="A81" s="142"/>
      <c r="B81" s="143"/>
      <c r="C81" s="143"/>
      <c r="D81" s="143"/>
      <c r="E81" s="143"/>
      <c r="F81" s="143"/>
      <c r="G81" s="144"/>
      <c r="H81" s="144"/>
      <c r="I81" s="191"/>
      <c r="J81" s="483"/>
      <c r="K81" s="487">
        <v>17</v>
      </c>
      <c r="L81" s="389"/>
      <c r="M81" s="449">
        <f>SUM(J81,L81)</f>
        <v>0</v>
      </c>
      <c r="N81" s="401">
        <f>M81/$E$56</f>
        <v>0</v>
      </c>
      <c r="O81" s="555" t="s">
        <v>9</v>
      </c>
      <c r="P81" s="444">
        <v>331</v>
      </c>
      <c r="Q81" s="362"/>
    </row>
    <row r="82" spans="1:17" ht="12.95" customHeight="1" x14ac:dyDescent="0.25">
      <c r="A82" s="142"/>
      <c r="B82" s="143"/>
      <c r="C82" s="143"/>
      <c r="D82" s="143"/>
      <c r="E82" s="143"/>
      <c r="F82" s="143"/>
      <c r="G82" s="144"/>
      <c r="H82" s="144"/>
      <c r="I82" s="191"/>
      <c r="J82" s="484"/>
      <c r="K82" s="488">
        <v>1</v>
      </c>
      <c r="L82" s="389"/>
      <c r="M82" s="449">
        <f t="shared" ref="M82:M86" si="9">SUM(J82,L82)</f>
        <v>0</v>
      </c>
      <c r="N82" s="401">
        <f t="shared" ref="N82:N86" si="10">M82/$E$56</f>
        <v>0</v>
      </c>
      <c r="O82" s="542" t="s">
        <v>80</v>
      </c>
      <c r="P82" s="422">
        <v>46</v>
      </c>
      <c r="Q82" s="362"/>
    </row>
    <row r="83" spans="1:17" ht="12.95" customHeight="1" x14ac:dyDescent="0.25">
      <c r="A83" s="142"/>
      <c r="B83" s="143"/>
      <c r="C83" s="143"/>
      <c r="D83" s="143"/>
      <c r="E83" s="143"/>
      <c r="F83" s="143"/>
      <c r="G83" s="144"/>
      <c r="H83" s="144"/>
      <c r="I83" s="191"/>
      <c r="J83" s="483"/>
      <c r="K83" s="487">
        <v>13</v>
      </c>
      <c r="L83" s="389"/>
      <c r="M83" s="449">
        <f t="shared" si="9"/>
        <v>0</v>
      </c>
      <c r="N83" s="401">
        <f t="shared" si="10"/>
        <v>0</v>
      </c>
      <c r="O83" s="555" t="s">
        <v>92</v>
      </c>
      <c r="P83" s="444">
        <v>159</v>
      </c>
      <c r="Q83" s="456" t="s">
        <v>302</v>
      </c>
    </row>
    <row r="84" spans="1:17" ht="12.95" customHeight="1" x14ac:dyDescent="0.25">
      <c r="A84" s="142"/>
      <c r="B84" s="143"/>
      <c r="C84" s="143"/>
      <c r="D84" s="143"/>
      <c r="E84" s="143"/>
      <c r="F84" s="143"/>
      <c r="G84" s="144"/>
      <c r="H84" s="144"/>
      <c r="I84" s="191"/>
      <c r="J84" s="483"/>
      <c r="K84" s="487">
        <v>1</v>
      </c>
      <c r="L84" s="389"/>
      <c r="M84" s="449">
        <f t="shared" si="9"/>
        <v>0</v>
      </c>
      <c r="N84" s="401">
        <f t="shared" si="10"/>
        <v>0</v>
      </c>
      <c r="O84" s="542" t="s">
        <v>94</v>
      </c>
      <c r="P84" s="422">
        <v>265</v>
      </c>
      <c r="Q84" s="362"/>
    </row>
    <row r="85" spans="1:17" ht="12.95" customHeight="1" x14ac:dyDescent="0.25">
      <c r="A85" s="142"/>
      <c r="B85" s="143"/>
      <c r="C85" s="143"/>
      <c r="D85" s="143"/>
      <c r="E85" s="143"/>
      <c r="F85" s="143"/>
      <c r="G85" s="144"/>
      <c r="H85" s="144"/>
      <c r="I85" s="191"/>
      <c r="J85" s="484"/>
      <c r="K85" s="488">
        <v>64</v>
      </c>
      <c r="L85" s="389"/>
      <c r="M85" s="449">
        <f t="shared" si="9"/>
        <v>0</v>
      </c>
      <c r="N85" s="401">
        <f t="shared" si="10"/>
        <v>0</v>
      </c>
      <c r="O85" s="555" t="s">
        <v>93</v>
      </c>
      <c r="P85" s="444">
        <v>159</v>
      </c>
      <c r="Q85" s="456" t="s">
        <v>309</v>
      </c>
    </row>
    <row r="86" spans="1:17" ht="12.95" customHeight="1" x14ac:dyDescent="0.25">
      <c r="A86" s="142"/>
      <c r="B86" s="143"/>
      <c r="C86" s="143"/>
      <c r="D86" s="143"/>
      <c r="E86" s="143"/>
      <c r="F86" s="143"/>
      <c r="G86" s="144"/>
      <c r="H86" s="144"/>
      <c r="I86" s="191"/>
      <c r="J86" s="483"/>
      <c r="K86" s="487">
        <v>11</v>
      </c>
      <c r="L86" s="389"/>
      <c r="M86" s="449">
        <f t="shared" si="9"/>
        <v>0</v>
      </c>
      <c r="N86" s="401">
        <f t="shared" si="10"/>
        <v>0</v>
      </c>
      <c r="O86" s="555" t="s">
        <v>90</v>
      </c>
      <c r="P86" s="444">
        <v>159</v>
      </c>
      <c r="Q86" s="362"/>
    </row>
    <row r="87" spans="1:17" ht="12.95" customHeight="1" thickBot="1" x14ac:dyDescent="0.3">
      <c r="A87" s="142"/>
      <c r="B87" s="143"/>
      <c r="C87" s="143"/>
      <c r="D87" s="143"/>
      <c r="E87" s="143"/>
      <c r="F87" s="143"/>
      <c r="G87" s="144"/>
      <c r="H87" s="144"/>
      <c r="I87" s="191"/>
      <c r="J87" s="485"/>
      <c r="K87" s="489">
        <v>2</v>
      </c>
      <c r="L87" s="400"/>
      <c r="M87" s="450">
        <f>SUM(J87,L87)</f>
        <v>0</v>
      </c>
      <c r="N87" s="402">
        <f>M87/$E$56</f>
        <v>0</v>
      </c>
      <c r="O87" s="553" t="s">
        <v>181</v>
      </c>
      <c r="P87" s="445">
        <v>159</v>
      </c>
      <c r="Q87" s="362"/>
    </row>
    <row r="88" spans="1:17" ht="12.95" customHeight="1" thickBot="1" x14ac:dyDescent="0.3">
      <c r="A88" s="142"/>
      <c r="B88" s="143"/>
      <c r="C88" s="143"/>
      <c r="D88" s="143"/>
      <c r="E88" s="143"/>
      <c r="F88" s="143"/>
      <c r="G88" s="144"/>
      <c r="H88" s="144"/>
      <c r="I88" s="192"/>
      <c r="J88" s="372"/>
      <c r="K88" s="372"/>
      <c r="L88" s="373"/>
      <c r="M88" s="369"/>
      <c r="N88" s="374"/>
      <c r="O88" s="424" t="s">
        <v>257</v>
      </c>
      <c r="P88" s="375"/>
      <c r="Q88" s="362"/>
    </row>
    <row r="89" spans="1:17" ht="12.95" customHeight="1" x14ac:dyDescent="0.25">
      <c r="A89" s="142"/>
      <c r="B89" s="143"/>
      <c r="C89" s="143"/>
      <c r="D89" s="143"/>
      <c r="E89" s="143"/>
      <c r="F89" s="143"/>
      <c r="G89" s="144"/>
      <c r="H89" s="144"/>
      <c r="I89" s="192"/>
      <c r="J89" s="376">
        <v>14</v>
      </c>
      <c r="K89" s="376"/>
      <c r="L89" s="390"/>
      <c r="M89" s="451">
        <f t="shared" ref="M89:M103" si="11">SUM(J89,L89)</f>
        <v>14</v>
      </c>
      <c r="N89" s="395">
        <f>M89/$E$56</f>
        <v>7.0528967254408059E-3</v>
      </c>
      <c r="O89" s="550" t="s">
        <v>275</v>
      </c>
      <c r="P89" s="421">
        <v>679</v>
      </c>
      <c r="Q89" s="362"/>
    </row>
    <row r="90" spans="1:17" ht="12.95" customHeight="1" x14ac:dyDescent="0.25">
      <c r="A90" s="142"/>
      <c r="B90" s="143"/>
      <c r="C90" s="143"/>
      <c r="D90" s="143"/>
      <c r="E90" s="143" t="s">
        <v>97</v>
      </c>
      <c r="F90" s="143"/>
      <c r="G90" s="144"/>
      <c r="H90" s="144"/>
      <c r="I90" s="192"/>
      <c r="J90" s="370"/>
      <c r="K90" s="365"/>
      <c r="L90" s="392"/>
      <c r="M90" s="451">
        <f t="shared" si="11"/>
        <v>0</v>
      </c>
      <c r="N90" s="396">
        <f>M90/$E$56</f>
        <v>0</v>
      </c>
      <c r="O90" s="542" t="s">
        <v>35</v>
      </c>
      <c r="P90" s="422">
        <v>65</v>
      </c>
      <c r="Q90" s="362"/>
    </row>
    <row r="91" spans="1:17" ht="12.95" customHeight="1" x14ac:dyDescent="0.25">
      <c r="A91" s="142"/>
      <c r="B91" s="143"/>
      <c r="C91" s="143"/>
      <c r="D91" s="143"/>
      <c r="E91" s="143"/>
      <c r="F91" s="143"/>
      <c r="G91" s="144"/>
      <c r="H91" s="144"/>
      <c r="I91" s="192"/>
      <c r="J91" s="377">
        <v>1</v>
      </c>
      <c r="K91" s="386"/>
      <c r="L91" s="394"/>
      <c r="M91" s="451">
        <f t="shared" si="11"/>
        <v>1</v>
      </c>
      <c r="N91" s="396">
        <f t="shared" ref="N91:N103" si="12">M91/$E$56</f>
        <v>5.0377833753148613E-4</v>
      </c>
      <c r="O91" s="542" t="s">
        <v>164</v>
      </c>
      <c r="P91" s="422">
        <v>46</v>
      </c>
      <c r="Q91" s="362"/>
    </row>
    <row r="92" spans="1:17" ht="12.95" customHeight="1" x14ac:dyDescent="0.25">
      <c r="A92" s="142"/>
      <c r="B92" s="143"/>
      <c r="C92" s="143"/>
      <c r="D92" s="143"/>
      <c r="E92" s="143"/>
      <c r="F92" s="143"/>
      <c r="G92" s="144"/>
      <c r="H92" s="144"/>
      <c r="I92" s="192"/>
      <c r="J92" s="370"/>
      <c r="K92" s="387"/>
      <c r="L92" s="393"/>
      <c r="M92" s="451">
        <f t="shared" si="11"/>
        <v>0</v>
      </c>
      <c r="N92" s="396">
        <f t="shared" si="12"/>
        <v>0</v>
      </c>
      <c r="O92" s="542" t="s">
        <v>174</v>
      </c>
      <c r="P92" s="422">
        <v>388</v>
      </c>
      <c r="Q92" s="362"/>
    </row>
    <row r="93" spans="1:17" ht="12.95" customHeight="1" x14ac:dyDescent="0.25">
      <c r="A93" s="142"/>
      <c r="B93" s="143"/>
      <c r="C93" s="143"/>
      <c r="D93" s="143"/>
      <c r="E93" s="143"/>
      <c r="F93" s="143"/>
      <c r="G93" s="144"/>
      <c r="H93" s="144"/>
      <c r="I93" s="192"/>
      <c r="J93" s="370"/>
      <c r="K93" s="387"/>
      <c r="L93" s="393"/>
      <c r="M93" s="451">
        <f t="shared" si="11"/>
        <v>0</v>
      </c>
      <c r="N93" s="396">
        <f t="shared" si="12"/>
        <v>0</v>
      </c>
      <c r="O93" s="542" t="s">
        <v>117</v>
      </c>
      <c r="P93" s="422">
        <v>388</v>
      </c>
      <c r="Q93" s="362"/>
    </row>
    <row r="94" spans="1:17" ht="12.95" customHeight="1" x14ac:dyDescent="0.25">
      <c r="A94" s="142"/>
      <c r="B94" s="143"/>
      <c r="C94" s="143"/>
      <c r="D94" s="143"/>
      <c r="E94" s="143"/>
      <c r="F94" s="143"/>
      <c r="G94" s="144"/>
      <c r="H94" s="144"/>
      <c r="I94" s="192"/>
      <c r="J94" s="370">
        <v>6</v>
      </c>
      <c r="K94" s="387"/>
      <c r="L94" s="393"/>
      <c r="M94" s="451">
        <f t="shared" si="11"/>
        <v>6</v>
      </c>
      <c r="N94" s="396">
        <f t="shared" si="12"/>
        <v>3.0226700251889168E-3</v>
      </c>
      <c r="O94" s="542" t="s">
        <v>149</v>
      </c>
      <c r="P94" s="422">
        <v>388</v>
      </c>
      <c r="Q94" s="362"/>
    </row>
    <row r="95" spans="1:17" ht="12.95" customHeight="1" x14ac:dyDescent="0.25">
      <c r="A95" s="142"/>
      <c r="B95" s="143"/>
      <c r="C95" s="143"/>
      <c r="D95" s="143"/>
      <c r="E95" s="143"/>
      <c r="F95" s="143"/>
      <c r="G95" s="144"/>
      <c r="H95" s="144"/>
      <c r="I95" s="145"/>
      <c r="J95" s="370">
        <v>1</v>
      </c>
      <c r="K95" s="387"/>
      <c r="L95" s="393"/>
      <c r="M95" s="451">
        <f t="shared" si="11"/>
        <v>1</v>
      </c>
      <c r="N95" s="396">
        <f t="shared" si="12"/>
        <v>5.0377833753148613E-4</v>
      </c>
      <c r="O95" s="542" t="s">
        <v>177</v>
      </c>
      <c r="P95" s="422">
        <v>65</v>
      </c>
      <c r="Q95" s="362"/>
    </row>
    <row r="96" spans="1:17" ht="12.95" customHeight="1" x14ac:dyDescent="0.25">
      <c r="A96" s="142"/>
      <c r="B96" s="143"/>
      <c r="C96" s="143"/>
      <c r="D96" s="143"/>
      <c r="E96" s="143"/>
      <c r="F96" s="143"/>
      <c r="G96" s="144"/>
      <c r="H96" s="144"/>
      <c r="I96" s="145"/>
      <c r="J96" s="379">
        <v>33</v>
      </c>
      <c r="K96" s="387"/>
      <c r="L96" s="385"/>
      <c r="M96" s="451">
        <f t="shared" si="11"/>
        <v>33</v>
      </c>
      <c r="N96" s="396">
        <f t="shared" si="12"/>
        <v>1.6624685138539042E-2</v>
      </c>
      <c r="O96" s="541" t="s">
        <v>108</v>
      </c>
      <c r="P96" s="422">
        <v>117</v>
      </c>
      <c r="Q96" s="362"/>
    </row>
    <row r="97" spans="1:17" ht="12.95" customHeight="1" x14ac:dyDescent="0.25">
      <c r="A97" s="142"/>
      <c r="B97" s="143"/>
      <c r="C97" s="143"/>
      <c r="D97" s="143"/>
      <c r="E97" s="143"/>
      <c r="F97" s="143"/>
      <c r="G97" s="144"/>
      <c r="H97" s="144"/>
      <c r="I97" s="145"/>
      <c r="J97" s="379">
        <v>1</v>
      </c>
      <c r="K97" s="387"/>
      <c r="L97" s="385"/>
      <c r="M97" s="451">
        <f t="shared" si="11"/>
        <v>1</v>
      </c>
      <c r="N97" s="396">
        <f t="shared" si="12"/>
        <v>5.0377833753148613E-4</v>
      </c>
      <c r="O97" s="542" t="s">
        <v>118</v>
      </c>
      <c r="P97" s="422">
        <v>665</v>
      </c>
      <c r="Q97" s="362"/>
    </row>
    <row r="98" spans="1:17" ht="12.95" customHeight="1" x14ac:dyDescent="0.25">
      <c r="A98" s="142"/>
      <c r="B98" s="143"/>
      <c r="C98" s="143"/>
      <c r="D98" s="143"/>
      <c r="E98" s="143"/>
      <c r="F98" s="143"/>
      <c r="G98" s="144"/>
      <c r="H98" s="144"/>
      <c r="I98" s="145"/>
      <c r="J98" s="379"/>
      <c r="K98" s="387"/>
      <c r="L98" s="393"/>
      <c r="M98" s="451">
        <f t="shared" si="11"/>
        <v>0</v>
      </c>
      <c r="N98" s="396">
        <f t="shared" si="12"/>
        <v>0</v>
      </c>
      <c r="O98" s="542" t="s">
        <v>93</v>
      </c>
      <c r="P98" s="422">
        <v>159</v>
      </c>
      <c r="Q98" s="362"/>
    </row>
    <row r="99" spans="1:17" ht="12.95" customHeight="1" x14ac:dyDescent="0.25">
      <c r="A99" s="142"/>
      <c r="B99" s="143"/>
      <c r="C99" s="143"/>
      <c r="D99" s="143"/>
      <c r="E99" s="143"/>
      <c r="F99" s="143"/>
      <c r="G99" s="144"/>
      <c r="H99" s="144"/>
      <c r="I99" s="145"/>
      <c r="J99" s="379">
        <v>2</v>
      </c>
      <c r="K99" s="387"/>
      <c r="L99" s="393"/>
      <c r="M99" s="451">
        <f t="shared" si="11"/>
        <v>2</v>
      </c>
      <c r="N99" s="396">
        <f t="shared" si="12"/>
        <v>1.0075566750629723E-3</v>
      </c>
      <c r="O99" s="542" t="s">
        <v>156</v>
      </c>
      <c r="P99" s="422">
        <v>164</v>
      </c>
      <c r="Q99" s="362"/>
    </row>
    <row r="100" spans="1:17" ht="12.95" customHeight="1" x14ac:dyDescent="0.25">
      <c r="A100" s="142"/>
      <c r="B100" s="143"/>
      <c r="C100" s="143"/>
      <c r="D100" s="143"/>
      <c r="E100" s="143"/>
      <c r="F100" s="143"/>
      <c r="G100" s="144"/>
      <c r="H100" s="144"/>
      <c r="I100" s="145"/>
      <c r="J100" s="379"/>
      <c r="K100" s="387"/>
      <c r="L100" s="393"/>
      <c r="M100" s="451">
        <f t="shared" si="11"/>
        <v>0</v>
      </c>
      <c r="N100" s="396">
        <f t="shared" si="12"/>
        <v>0</v>
      </c>
      <c r="O100" s="542" t="s">
        <v>278</v>
      </c>
      <c r="P100" s="422">
        <v>159</v>
      </c>
      <c r="Q100" s="362" t="s">
        <v>305</v>
      </c>
    </row>
    <row r="101" spans="1:17" ht="12.95" customHeight="1" x14ac:dyDescent="0.25">
      <c r="A101" s="142"/>
      <c r="B101" s="143"/>
      <c r="C101" s="143"/>
      <c r="D101" s="143"/>
      <c r="E101" s="143"/>
      <c r="F101" s="143"/>
      <c r="G101" s="144"/>
      <c r="H101" s="144"/>
      <c r="I101" s="145"/>
      <c r="J101" s="379">
        <v>5</v>
      </c>
      <c r="K101" s="387"/>
      <c r="L101" s="393"/>
      <c r="M101" s="451">
        <f t="shared" si="11"/>
        <v>5</v>
      </c>
      <c r="N101" s="396">
        <f t="shared" si="12"/>
        <v>2.5188916876574307E-3</v>
      </c>
      <c r="O101" s="542" t="s">
        <v>183</v>
      </c>
      <c r="P101" s="422">
        <v>159</v>
      </c>
      <c r="Q101" s="362" t="s">
        <v>303</v>
      </c>
    </row>
    <row r="102" spans="1:17" ht="12.95" customHeight="1" x14ac:dyDescent="0.25">
      <c r="A102" s="142"/>
      <c r="B102" s="143"/>
      <c r="C102" s="143"/>
      <c r="D102" s="143"/>
      <c r="E102" s="143"/>
      <c r="F102" s="143"/>
      <c r="G102" s="144"/>
      <c r="H102" s="144"/>
      <c r="I102" s="145"/>
      <c r="J102" s="370">
        <v>1</v>
      </c>
      <c r="K102" s="387"/>
      <c r="L102" s="393"/>
      <c r="M102" s="451">
        <f t="shared" si="11"/>
        <v>1</v>
      </c>
      <c r="N102" s="396">
        <f t="shared" si="12"/>
        <v>5.0377833753148613E-4</v>
      </c>
      <c r="O102" s="542" t="s">
        <v>306</v>
      </c>
      <c r="P102" s="422">
        <v>65</v>
      </c>
      <c r="Q102" s="362" t="s">
        <v>304</v>
      </c>
    </row>
    <row r="103" spans="1:17" ht="12.95" customHeight="1" x14ac:dyDescent="0.25">
      <c r="A103" s="142"/>
      <c r="B103" s="143"/>
      <c r="C103" s="143"/>
      <c r="D103" s="143"/>
      <c r="E103" s="143"/>
      <c r="F103" s="143"/>
      <c r="G103" s="144"/>
      <c r="H103" s="144"/>
      <c r="I103" s="145"/>
      <c r="J103" s="370">
        <v>1</v>
      </c>
      <c r="K103" s="387"/>
      <c r="L103" s="393"/>
      <c r="M103" s="451">
        <f t="shared" si="11"/>
        <v>1</v>
      </c>
      <c r="N103" s="396">
        <f t="shared" si="12"/>
        <v>5.0377833753148613E-4</v>
      </c>
      <c r="O103" s="542" t="s">
        <v>184</v>
      </c>
      <c r="P103" s="422">
        <v>639</v>
      </c>
      <c r="Q103" s="362" t="s">
        <v>308</v>
      </c>
    </row>
    <row r="104" spans="1:17" ht="12.95" customHeight="1" thickBot="1" x14ac:dyDescent="0.3">
      <c r="A104" s="150"/>
      <c r="B104" s="151"/>
      <c r="C104" s="151"/>
      <c r="D104" s="151"/>
      <c r="E104" s="151"/>
      <c r="F104" s="151"/>
      <c r="G104" s="152"/>
      <c r="H104" s="152"/>
      <c r="I104" s="153"/>
      <c r="J104" s="380"/>
      <c r="K104" s="388"/>
      <c r="L104" s="404"/>
      <c r="M104" s="452">
        <v>0</v>
      </c>
      <c r="N104" s="397">
        <f>M104/$E$56</f>
        <v>0</v>
      </c>
      <c r="O104" s="551" t="s">
        <v>307</v>
      </c>
      <c r="P104" s="423">
        <v>43</v>
      </c>
      <c r="Q104" s="381"/>
    </row>
    <row r="105" spans="1:17" ht="12.95" customHeight="1" thickBot="1" x14ac:dyDescent="0.3">
      <c r="I105" s="154" t="s">
        <v>4</v>
      </c>
      <c r="J105" s="382">
        <f>SUM(J57:J104)</f>
        <v>134</v>
      </c>
      <c r="K105" s="382">
        <f>SUM(K57:K104)</f>
        <v>121</v>
      </c>
      <c r="L105" s="382">
        <f>SUM(L57:L78,L91:L104,L80:L87)</f>
        <v>16</v>
      </c>
      <c r="M105" s="403">
        <f>SUM(M57:M104)</f>
        <v>150</v>
      </c>
      <c r="N105" s="398">
        <f>M105/$E$56</f>
        <v>7.5566750629722929E-2</v>
      </c>
      <c r="O105" s="383"/>
      <c r="P105" s="383"/>
      <c r="Q105" s="384"/>
    </row>
    <row r="107" spans="1:17" ht="15.75" thickBot="1" x14ac:dyDescent="0.3"/>
    <row r="108" spans="1:17" ht="32.1" customHeight="1" thickBot="1" x14ac:dyDescent="0.3">
      <c r="A108" s="434" t="s">
        <v>249</v>
      </c>
      <c r="B108" s="434" t="s">
        <v>47</v>
      </c>
      <c r="C108" s="434" t="s">
        <v>243</v>
      </c>
      <c r="D108" s="434" t="s">
        <v>242</v>
      </c>
      <c r="E108" s="434" t="s">
        <v>246</v>
      </c>
      <c r="F108" s="434" t="s">
        <v>16</v>
      </c>
      <c r="G108" s="76" t="s">
        <v>1</v>
      </c>
      <c r="H108" s="76" t="s">
        <v>86</v>
      </c>
      <c r="I108" s="435" t="s">
        <v>23</v>
      </c>
      <c r="J108" s="436" t="s">
        <v>266</v>
      </c>
      <c r="K108" s="437" t="s">
        <v>247</v>
      </c>
      <c r="L108" s="434" t="s">
        <v>248</v>
      </c>
      <c r="M108" s="434" t="s">
        <v>4</v>
      </c>
      <c r="N108" s="434" t="s">
        <v>2</v>
      </c>
      <c r="O108" s="434" t="s">
        <v>20</v>
      </c>
      <c r="P108" s="434" t="s">
        <v>69</v>
      </c>
      <c r="Q108" s="438" t="s">
        <v>6</v>
      </c>
    </row>
    <row r="109" spans="1:17" ht="15.75" thickBot="1" x14ac:dyDescent="0.3">
      <c r="A109" s="406">
        <v>1516802</v>
      </c>
      <c r="B109" s="406" t="s">
        <v>244</v>
      </c>
      <c r="C109" s="406" t="s">
        <v>300</v>
      </c>
      <c r="D109" s="406">
        <v>1920</v>
      </c>
      <c r="E109" s="406">
        <v>2030</v>
      </c>
      <c r="F109" s="407">
        <v>1797</v>
      </c>
      <c r="G109" s="408">
        <f>F109/E109</f>
        <v>0.88522167487684733</v>
      </c>
      <c r="H109" s="408">
        <f>$K$52/E109</f>
        <v>6.9950738916256153E-2</v>
      </c>
      <c r="I109" s="409">
        <v>45338</v>
      </c>
      <c r="J109" s="410"/>
      <c r="K109" s="410"/>
      <c r="L109" s="411"/>
      <c r="M109" s="412"/>
      <c r="N109" s="413"/>
      <c r="O109" s="414" t="s">
        <v>250</v>
      </c>
      <c r="P109" s="414"/>
      <c r="Q109" s="358"/>
    </row>
    <row r="110" spans="1:17" ht="12.95" customHeight="1" x14ac:dyDescent="0.25">
      <c r="A110" s="139"/>
      <c r="B110" s="140"/>
      <c r="C110" s="140"/>
      <c r="D110" s="140"/>
      <c r="E110" s="140"/>
      <c r="F110" s="140"/>
      <c r="G110" s="141"/>
      <c r="H110" s="141"/>
      <c r="I110" s="190"/>
      <c r="J110" s="490">
        <v>3</v>
      </c>
      <c r="K110" s="486"/>
      <c r="L110" s="390"/>
      <c r="M110" s="446">
        <f t="shared" ref="M110:M131" si="13">SUM(J110,L110)</f>
        <v>3</v>
      </c>
      <c r="N110" s="415">
        <f>M110/$E$109</f>
        <v>1.477832512315271E-3</v>
      </c>
      <c r="O110" s="417" t="s">
        <v>252</v>
      </c>
      <c r="P110" s="425">
        <v>211</v>
      </c>
      <c r="Q110" s="360" t="s">
        <v>187</v>
      </c>
    </row>
    <row r="111" spans="1:17" ht="12.95" customHeight="1" x14ac:dyDescent="0.25">
      <c r="A111" s="142"/>
      <c r="B111" s="143"/>
      <c r="C111" s="143"/>
      <c r="D111" s="143"/>
      <c r="E111" s="143"/>
      <c r="F111" s="143"/>
      <c r="G111" s="144"/>
      <c r="H111" s="144"/>
      <c r="I111" s="191"/>
      <c r="J111" s="491">
        <v>8</v>
      </c>
      <c r="K111" s="487"/>
      <c r="L111" s="391"/>
      <c r="M111" s="447">
        <f t="shared" si="13"/>
        <v>8</v>
      </c>
      <c r="N111" s="416">
        <f>M111/$E$109</f>
        <v>3.9408866995073889E-3</v>
      </c>
      <c r="O111" s="418" t="s">
        <v>87</v>
      </c>
      <c r="P111" s="426">
        <v>141</v>
      </c>
      <c r="Q111" s="362"/>
    </row>
    <row r="112" spans="1:17" ht="12.95" customHeight="1" x14ac:dyDescent="0.25">
      <c r="A112" s="142"/>
      <c r="B112" s="143"/>
      <c r="C112" s="143"/>
      <c r="D112" s="143"/>
      <c r="E112" s="143"/>
      <c r="F112" s="143"/>
      <c r="G112" s="144"/>
      <c r="H112" s="144"/>
      <c r="I112" s="191"/>
      <c r="J112" s="491">
        <v>3</v>
      </c>
      <c r="K112" s="488"/>
      <c r="L112" s="392"/>
      <c r="M112" s="447">
        <f t="shared" si="13"/>
        <v>3</v>
      </c>
      <c r="N112" s="416">
        <f t="shared" ref="N112:N130" si="14">M112/$E$109</f>
        <v>1.477832512315271E-3</v>
      </c>
      <c r="O112" s="419" t="s">
        <v>7</v>
      </c>
      <c r="P112" s="427">
        <v>140</v>
      </c>
      <c r="Q112" s="362"/>
    </row>
    <row r="113" spans="1:17" ht="12.95" customHeight="1" x14ac:dyDescent="0.25">
      <c r="A113" s="142"/>
      <c r="B113" s="143"/>
      <c r="C113" s="143"/>
      <c r="D113" s="143"/>
      <c r="E113" s="143"/>
      <c r="F113" s="143"/>
      <c r="G113" s="144"/>
      <c r="H113" s="144"/>
      <c r="I113" s="191"/>
      <c r="J113" s="491">
        <v>1</v>
      </c>
      <c r="K113" s="487"/>
      <c r="L113" s="392"/>
      <c r="M113" s="447">
        <f t="shared" si="13"/>
        <v>1</v>
      </c>
      <c r="N113" s="416">
        <f t="shared" si="14"/>
        <v>4.9261083743842361E-4</v>
      </c>
      <c r="O113" s="419" t="s">
        <v>8</v>
      </c>
      <c r="P113" s="427">
        <v>210</v>
      </c>
      <c r="Q113" s="362"/>
    </row>
    <row r="114" spans="1:17" ht="12.95" customHeight="1" x14ac:dyDescent="0.25">
      <c r="A114" s="142"/>
      <c r="B114" s="143"/>
      <c r="C114" s="143"/>
      <c r="D114" s="143"/>
      <c r="E114" s="143"/>
      <c r="F114" s="143"/>
      <c r="G114" s="144"/>
      <c r="H114" s="144"/>
      <c r="I114" s="191"/>
      <c r="J114" s="491">
        <v>29</v>
      </c>
      <c r="K114" s="488"/>
      <c r="L114" s="392">
        <v>6</v>
      </c>
      <c r="M114" s="447">
        <f t="shared" si="13"/>
        <v>35</v>
      </c>
      <c r="N114" s="416">
        <f t="shared" si="14"/>
        <v>1.7241379310344827E-2</v>
      </c>
      <c r="O114" s="418" t="s">
        <v>15</v>
      </c>
      <c r="P114" s="426">
        <v>355</v>
      </c>
      <c r="Q114" s="362"/>
    </row>
    <row r="115" spans="1:17" ht="12.95" customHeight="1" x14ac:dyDescent="0.25">
      <c r="A115" s="142"/>
      <c r="B115" s="143"/>
      <c r="C115" s="143"/>
      <c r="D115" s="143"/>
      <c r="E115" s="143"/>
      <c r="F115" s="143"/>
      <c r="G115" s="144"/>
      <c r="H115" s="144"/>
      <c r="I115" s="191"/>
      <c r="J115" s="491">
        <v>1</v>
      </c>
      <c r="K115" s="488"/>
      <c r="L115" s="392"/>
      <c r="M115" s="447">
        <f t="shared" si="13"/>
        <v>1</v>
      </c>
      <c r="N115" s="416">
        <f t="shared" si="14"/>
        <v>4.9261083743842361E-4</v>
      </c>
      <c r="O115" s="418" t="s">
        <v>88</v>
      </c>
      <c r="P115" s="426">
        <v>178</v>
      </c>
      <c r="Q115" s="362"/>
    </row>
    <row r="116" spans="1:17" ht="12.95" customHeight="1" x14ac:dyDescent="0.25">
      <c r="A116" s="142"/>
      <c r="B116" s="143"/>
      <c r="C116" s="143"/>
      <c r="D116" s="143"/>
      <c r="E116" s="143"/>
      <c r="F116" s="143"/>
      <c r="G116" s="144"/>
      <c r="H116" s="144"/>
      <c r="I116" s="191"/>
      <c r="J116" s="491"/>
      <c r="K116" s="487"/>
      <c r="L116" s="392">
        <v>1</v>
      </c>
      <c r="M116" s="447">
        <f t="shared" si="13"/>
        <v>1</v>
      </c>
      <c r="N116" s="416">
        <f t="shared" si="14"/>
        <v>4.9261083743842361E-4</v>
      </c>
      <c r="O116" s="418" t="s">
        <v>34</v>
      </c>
      <c r="P116" s="426">
        <v>176</v>
      </c>
      <c r="Q116" s="362"/>
    </row>
    <row r="117" spans="1:17" ht="12.95" customHeight="1" x14ac:dyDescent="0.25">
      <c r="A117" s="142"/>
      <c r="B117" s="143"/>
      <c r="C117" s="143"/>
      <c r="D117" s="143"/>
      <c r="E117" s="143"/>
      <c r="F117" s="143"/>
      <c r="G117" s="144"/>
      <c r="H117" s="144"/>
      <c r="I117" s="191"/>
      <c r="J117" s="491">
        <v>7</v>
      </c>
      <c r="K117" s="488"/>
      <c r="L117" s="392"/>
      <c r="M117" s="447">
        <f t="shared" si="13"/>
        <v>7</v>
      </c>
      <c r="N117" s="416">
        <f t="shared" si="14"/>
        <v>3.4482758620689655E-3</v>
      </c>
      <c r="O117" s="418" t="s">
        <v>3</v>
      </c>
      <c r="P117" s="426">
        <v>44</v>
      </c>
      <c r="Q117" s="362"/>
    </row>
    <row r="118" spans="1:17" ht="12.95" customHeight="1" x14ac:dyDescent="0.25">
      <c r="A118" s="142"/>
      <c r="B118" s="143"/>
      <c r="C118" s="143"/>
      <c r="D118" s="143"/>
      <c r="E118" s="143"/>
      <c r="F118" s="143"/>
      <c r="G118" s="144"/>
      <c r="H118" s="144"/>
      <c r="I118" s="191"/>
      <c r="J118" s="491"/>
      <c r="K118" s="488"/>
      <c r="L118" s="392"/>
      <c r="M118" s="447">
        <f t="shared" si="13"/>
        <v>0</v>
      </c>
      <c r="N118" s="416">
        <f t="shared" si="14"/>
        <v>0</v>
      </c>
      <c r="O118" s="418" t="s">
        <v>19</v>
      </c>
      <c r="P118" s="426">
        <v>119</v>
      </c>
      <c r="Q118" s="362"/>
    </row>
    <row r="119" spans="1:17" ht="12.95" customHeight="1" x14ac:dyDescent="0.25">
      <c r="A119" s="142"/>
      <c r="B119" s="143"/>
      <c r="C119" s="143"/>
      <c r="D119" s="143"/>
      <c r="E119" s="143"/>
      <c r="F119" s="143"/>
      <c r="G119" s="144"/>
      <c r="H119" s="144"/>
      <c r="I119" s="191"/>
      <c r="J119" s="491"/>
      <c r="K119" s="385"/>
      <c r="L119" s="393"/>
      <c r="M119" s="447">
        <f t="shared" si="13"/>
        <v>0</v>
      </c>
      <c r="N119" s="416">
        <f t="shared" si="14"/>
        <v>0</v>
      </c>
      <c r="O119" s="418" t="s">
        <v>301</v>
      </c>
      <c r="P119" s="426">
        <v>65</v>
      </c>
      <c r="Q119" s="362"/>
    </row>
    <row r="120" spans="1:17" ht="12.95" customHeight="1" x14ac:dyDescent="0.25">
      <c r="A120" s="142"/>
      <c r="B120" s="143"/>
      <c r="C120" s="143"/>
      <c r="D120" s="143"/>
      <c r="E120" s="143"/>
      <c r="F120" s="143"/>
      <c r="G120" s="144"/>
      <c r="H120" s="144"/>
      <c r="I120" s="191"/>
      <c r="J120" s="491">
        <v>1</v>
      </c>
      <c r="K120" s="487"/>
      <c r="L120" s="392"/>
      <c r="M120" s="447">
        <f t="shared" si="13"/>
        <v>1</v>
      </c>
      <c r="N120" s="416">
        <f t="shared" si="14"/>
        <v>4.9261083743842361E-4</v>
      </c>
      <c r="O120" s="541" t="s">
        <v>108</v>
      </c>
      <c r="P120" s="426">
        <v>117</v>
      </c>
      <c r="Q120" s="362"/>
    </row>
    <row r="121" spans="1:17" ht="12.95" customHeight="1" x14ac:dyDescent="0.25">
      <c r="A121" s="142"/>
      <c r="B121" s="143"/>
      <c r="C121" s="143"/>
      <c r="D121" s="143"/>
      <c r="E121" s="143"/>
      <c r="F121" s="143"/>
      <c r="G121" s="144"/>
      <c r="H121" s="144"/>
      <c r="I121" s="191"/>
      <c r="J121" s="491"/>
      <c r="K121" s="487"/>
      <c r="L121" s="392"/>
      <c r="M121" s="447">
        <f t="shared" si="13"/>
        <v>0</v>
      </c>
      <c r="N121" s="416">
        <f t="shared" si="14"/>
        <v>0</v>
      </c>
      <c r="O121" s="418" t="s">
        <v>254</v>
      </c>
      <c r="P121" s="426">
        <v>159</v>
      </c>
      <c r="Q121" s="362"/>
    </row>
    <row r="122" spans="1:17" ht="12.95" customHeight="1" x14ac:dyDescent="0.25">
      <c r="A122" s="142"/>
      <c r="B122" s="143"/>
      <c r="C122" s="143"/>
      <c r="D122" s="143"/>
      <c r="E122" s="143"/>
      <c r="F122" s="143"/>
      <c r="G122" s="144"/>
      <c r="H122" s="144"/>
      <c r="I122" s="191"/>
      <c r="J122" s="491"/>
      <c r="K122" s="487"/>
      <c r="L122" s="392"/>
      <c r="M122" s="447">
        <f t="shared" si="13"/>
        <v>0</v>
      </c>
      <c r="N122" s="416">
        <f t="shared" si="14"/>
        <v>0</v>
      </c>
      <c r="O122" s="418" t="s">
        <v>255</v>
      </c>
      <c r="P122" s="426">
        <v>704</v>
      </c>
      <c r="Q122" s="362"/>
    </row>
    <row r="123" spans="1:17" ht="12.95" customHeight="1" x14ac:dyDescent="0.25">
      <c r="A123" s="142"/>
      <c r="B123" s="143"/>
      <c r="C123" s="143"/>
      <c r="D123" s="143"/>
      <c r="E123" s="143"/>
      <c r="F123" s="143"/>
      <c r="G123" s="144"/>
      <c r="H123" s="144"/>
      <c r="I123" s="191"/>
      <c r="J123" s="491"/>
      <c r="K123" s="487"/>
      <c r="L123" s="392"/>
      <c r="M123" s="447">
        <f t="shared" si="13"/>
        <v>0</v>
      </c>
      <c r="N123" s="416">
        <f t="shared" si="14"/>
        <v>0</v>
      </c>
      <c r="O123" s="418" t="s">
        <v>256</v>
      </c>
      <c r="P123" s="426">
        <v>705</v>
      </c>
      <c r="Q123" s="362"/>
    </row>
    <row r="124" spans="1:17" ht="12.95" customHeight="1" x14ac:dyDescent="0.25">
      <c r="A124" s="142"/>
      <c r="B124" s="143"/>
      <c r="C124" s="143"/>
      <c r="D124" s="143"/>
      <c r="E124" s="143"/>
      <c r="F124" s="143"/>
      <c r="G124" s="144"/>
      <c r="H124" s="144"/>
      <c r="I124" s="191"/>
      <c r="J124" s="491">
        <v>2</v>
      </c>
      <c r="K124" s="487"/>
      <c r="L124" s="392"/>
      <c r="M124" s="447">
        <f t="shared" si="13"/>
        <v>2</v>
      </c>
      <c r="N124" s="416">
        <f t="shared" si="14"/>
        <v>9.8522167487684722E-4</v>
      </c>
      <c r="O124" s="418" t="s">
        <v>27</v>
      </c>
      <c r="P124" s="426">
        <v>58</v>
      </c>
      <c r="Q124" s="362"/>
    </row>
    <row r="125" spans="1:17" ht="12.95" customHeight="1" x14ac:dyDescent="0.25">
      <c r="A125" s="142"/>
      <c r="B125" s="143"/>
      <c r="C125" s="143"/>
      <c r="D125" s="143"/>
      <c r="E125" s="143"/>
      <c r="F125" s="143"/>
      <c r="G125" s="144"/>
      <c r="H125" s="144"/>
      <c r="I125" s="191"/>
      <c r="J125" s="491"/>
      <c r="K125" s="487"/>
      <c r="L125" s="392"/>
      <c r="M125" s="447">
        <f t="shared" si="13"/>
        <v>0</v>
      </c>
      <c r="N125" s="416">
        <f t="shared" si="14"/>
        <v>0</v>
      </c>
      <c r="O125" s="418" t="s">
        <v>200</v>
      </c>
      <c r="P125" s="426">
        <v>70</v>
      </c>
      <c r="Q125" s="362"/>
    </row>
    <row r="126" spans="1:17" ht="12.95" customHeight="1" x14ac:dyDescent="0.25">
      <c r="A126" s="142"/>
      <c r="B126" s="143"/>
      <c r="C126" s="143"/>
      <c r="D126" s="143"/>
      <c r="E126" s="143"/>
      <c r="F126" s="143"/>
      <c r="G126" s="144"/>
      <c r="H126" s="144"/>
      <c r="I126" s="191"/>
      <c r="J126" s="491">
        <v>1</v>
      </c>
      <c r="K126" s="492"/>
      <c r="L126" s="394">
        <v>1</v>
      </c>
      <c r="M126" s="447">
        <f t="shared" si="13"/>
        <v>2</v>
      </c>
      <c r="N126" s="416">
        <f t="shared" si="14"/>
        <v>9.8522167487684722E-4</v>
      </c>
      <c r="O126" s="418" t="s">
        <v>94</v>
      </c>
      <c r="P126" s="426">
        <v>265</v>
      </c>
      <c r="Q126" s="362"/>
    </row>
    <row r="127" spans="1:17" ht="12.95" customHeight="1" x14ac:dyDescent="0.25">
      <c r="A127" s="142"/>
      <c r="B127" s="143"/>
      <c r="C127" s="143"/>
      <c r="D127" s="143" t="s">
        <v>100</v>
      </c>
      <c r="E127" s="143"/>
      <c r="F127" s="143"/>
      <c r="G127" s="144"/>
      <c r="H127" s="144"/>
      <c r="I127" s="191"/>
      <c r="J127" s="491"/>
      <c r="K127" s="487"/>
      <c r="L127" s="392"/>
      <c r="M127" s="447">
        <f t="shared" si="13"/>
        <v>0</v>
      </c>
      <c r="N127" s="416">
        <f t="shared" si="14"/>
        <v>0</v>
      </c>
      <c r="O127" s="418" t="s">
        <v>71</v>
      </c>
      <c r="P127" s="426">
        <v>388</v>
      </c>
      <c r="Q127" s="362"/>
    </row>
    <row r="128" spans="1:17" ht="12.95" customHeight="1" x14ac:dyDescent="0.25">
      <c r="A128" s="142"/>
      <c r="B128" s="143"/>
      <c r="C128" s="143"/>
      <c r="D128" s="143"/>
      <c r="E128" s="143"/>
      <c r="F128" s="143"/>
      <c r="G128" s="144"/>
      <c r="H128" s="144"/>
      <c r="I128" s="191"/>
      <c r="J128" s="491"/>
      <c r="K128" s="487"/>
      <c r="L128" s="392">
        <v>50</v>
      </c>
      <c r="M128" s="447">
        <f t="shared" si="13"/>
        <v>50</v>
      </c>
      <c r="N128" s="416">
        <f t="shared" si="14"/>
        <v>2.4630541871921183E-2</v>
      </c>
      <c r="O128" s="418" t="s">
        <v>170</v>
      </c>
      <c r="P128" s="426">
        <v>80</v>
      </c>
      <c r="Q128" s="362"/>
    </row>
    <row r="129" spans="1:17" ht="12.95" customHeight="1" x14ac:dyDescent="0.25">
      <c r="A129" s="142"/>
      <c r="B129" s="143"/>
      <c r="C129" s="143"/>
      <c r="D129" s="143"/>
      <c r="E129" s="143"/>
      <c r="F129" s="143"/>
      <c r="G129" s="144"/>
      <c r="H129" s="144"/>
      <c r="I129" s="191"/>
      <c r="J129" s="491">
        <v>1</v>
      </c>
      <c r="K129" s="487"/>
      <c r="L129" s="392"/>
      <c r="M129" s="447">
        <f t="shared" si="13"/>
        <v>1</v>
      </c>
      <c r="N129" s="416">
        <f t="shared" si="14"/>
        <v>4.9261083743842361E-4</v>
      </c>
      <c r="O129" s="418" t="s">
        <v>90</v>
      </c>
      <c r="P129" s="426">
        <v>159</v>
      </c>
      <c r="Q129" s="362"/>
    </row>
    <row r="130" spans="1:17" ht="12.75" customHeight="1" x14ac:dyDescent="0.25">
      <c r="A130" s="142"/>
      <c r="B130" s="143"/>
      <c r="C130" s="143"/>
      <c r="D130" s="143"/>
      <c r="E130" s="143"/>
      <c r="F130" s="143"/>
      <c r="G130" s="144"/>
      <c r="H130" s="144"/>
      <c r="I130" s="191"/>
      <c r="J130" s="483">
        <v>3</v>
      </c>
      <c r="K130" s="487"/>
      <c r="L130" s="392"/>
      <c r="M130" s="447">
        <f t="shared" si="13"/>
        <v>3</v>
      </c>
      <c r="N130" s="416">
        <f t="shared" si="14"/>
        <v>1.477832512315271E-3</v>
      </c>
      <c r="O130" s="418" t="s">
        <v>85</v>
      </c>
      <c r="P130" s="426">
        <v>43</v>
      </c>
      <c r="Q130" s="362"/>
    </row>
    <row r="131" spans="1:17" ht="12.75" customHeight="1" thickBot="1" x14ac:dyDescent="0.3">
      <c r="A131" s="142"/>
      <c r="B131" s="143"/>
      <c r="C131" s="143"/>
      <c r="D131" s="143"/>
      <c r="E131" s="143"/>
      <c r="F131" s="143"/>
      <c r="G131" s="144"/>
      <c r="H131" s="144"/>
      <c r="I131" s="191"/>
      <c r="J131" s="483"/>
      <c r="K131" s="493"/>
      <c r="L131" s="391">
        <v>5</v>
      </c>
      <c r="M131" s="447">
        <f t="shared" si="13"/>
        <v>5</v>
      </c>
      <c r="N131" s="453">
        <f>M131/$E$109</f>
        <v>2.4630541871921183E-3</v>
      </c>
      <c r="O131" s="420" t="s">
        <v>109</v>
      </c>
      <c r="P131" s="428">
        <v>159</v>
      </c>
      <c r="Q131" s="362"/>
    </row>
    <row r="132" spans="1:17" ht="12.95" customHeight="1" thickBot="1" x14ac:dyDescent="0.3">
      <c r="A132" s="142"/>
      <c r="B132" s="143"/>
      <c r="C132" s="143"/>
      <c r="D132" s="143"/>
      <c r="E132" s="143"/>
      <c r="F132" s="143"/>
      <c r="G132" s="144"/>
      <c r="H132" s="144"/>
      <c r="I132" s="192"/>
      <c r="J132" s="367"/>
      <c r="K132" s="367"/>
      <c r="L132" s="368"/>
      <c r="M132" s="369"/>
      <c r="N132" s="369"/>
      <c r="O132" s="424" t="s">
        <v>251</v>
      </c>
      <c r="P132" s="375"/>
      <c r="Q132" s="362"/>
    </row>
    <row r="133" spans="1:17" ht="12.95" customHeight="1" x14ac:dyDescent="0.25">
      <c r="A133" s="142"/>
      <c r="B133" s="143"/>
      <c r="C133" s="143"/>
      <c r="D133" s="143"/>
      <c r="E133" s="143"/>
      <c r="F133" s="143"/>
      <c r="G133" s="144"/>
      <c r="H133" s="144"/>
      <c r="I133" s="191"/>
      <c r="J133" s="482"/>
      <c r="K133" s="486">
        <v>16</v>
      </c>
      <c r="L133" s="399"/>
      <c r="M133" s="448">
        <f>SUM(J133,L133)</f>
        <v>0</v>
      </c>
      <c r="N133" s="401">
        <f>M133/$E$109</f>
        <v>0</v>
      </c>
      <c r="O133" s="557" t="s">
        <v>91</v>
      </c>
      <c r="P133" s="443">
        <v>159</v>
      </c>
      <c r="Q133" s="362"/>
    </row>
    <row r="134" spans="1:17" ht="12.95" customHeight="1" x14ac:dyDescent="0.25">
      <c r="A134" s="142"/>
      <c r="B134" s="143"/>
      <c r="C134" s="143"/>
      <c r="D134" s="143"/>
      <c r="E134" s="143"/>
      <c r="F134" s="143"/>
      <c r="G134" s="144"/>
      <c r="H134" s="144"/>
      <c r="I134" s="191"/>
      <c r="J134" s="483"/>
      <c r="K134" s="487">
        <v>2</v>
      </c>
      <c r="L134" s="389"/>
      <c r="M134" s="449">
        <f>SUM(J134,L134)</f>
        <v>0</v>
      </c>
      <c r="N134" s="401">
        <f>M134/$E$109</f>
        <v>0</v>
      </c>
      <c r="O134" s="555" t="s">
        <v>9</v>
      </c>
      <c r="P134" s="444">
        <v>331</v>
      </c>
      <c r="Q134" s="362"/>
    </row>
    <row r="135" spans="1:17" ht="12.95" customHeight="1" x14ac:dyDescent="0.25">
      <c r="A135" s="142"/>
      <c r="B135" s="143"/>
      <c r="C135" s="143"/>
      <c r="D135" s="143"/>
      <c r="E135" s="143"/>
      <c r="F135" s="143"/>
      <c r="G135" s="144"/>
      <c r="H135" s="144"/>
      <c r="I135" s="191"/>
      <c r="J135" s="484"/>
      <c r="K135" s="488">
        <v>2</v>
      </c>
      <c r="L135" s="389"/>
      <c r="M135" s="449">
        <f t="shared" ref="M135:M139" si="15">SUM(J135,L135)</f>
        <v>0</v>
      </c>
      <c r="N135" s="401">
        <f t="shared" ref="N135:N139" si="16">M135/$E$109</f>
        <v>0</v>
      </c>
      <c r="O135" s="542" t="s">
        <v>94</v>
      </c>
      <c r="P135" s="422">
        <v>265</v>
      </c>
      <c r="Q135" s="362"/>
    </row>
    <row r="136" spans="1:17" ht="12.95" customHeight="1" x14ac:dyDescent="0.25">
      <c r="A136" s="142"/>
      <c r="B136" s="143"/>
      <c r="C136" s="143"/>
      <c r="D136" s="143"/>
      <c r="E136" s="143"/>
      <c r="F136" s="143"/>
      <c r="G136" s="144"/>
      <c r="H136" s="144"/>
      <c r="I136" s="191"/>
      <c r="J136" s="483"/>
      <c r="K136" s="487">
        <v>11</v>
      </c>
      <c r="L136" s="389"/>
      <c r="M136" s="449">
        <f t="shared" si="15"/>
        <v>0</v>
      </c>
      <c r="N136" s="401">
        <f t="shared" si="16"/>
        <v>0</v>
      </c>
      <c r="O136" s="555" t="s">
        <v>92</v>
      </c>
      <c r="P136" s="444">
        <v>159</v>
      </c>
      <c r="Q136" s="456" t="s">
        <v>348</v>
      </c>
    </row>
    <row r="137" spans="1:17" ht="12.95" customHeight="1" x14ac:dyDescent="0.25">
      <c r="A137" s="142"/>
      <c r="B137" s="143"/>
      <c r="C137" s="143"/>
      <c r="D137" s="143"/>
      <c r="E137" s="143"/>
      <c r="F137" s="143"/>
      <c r="G137" s="144"/>
      <c r="H137" s="144"/>
      <c r="I137" s="191"/>
      <c r="J137" s="483"/>
      <c r="K137" s="487">
        <v>1</v>
      </c>
      <c r="L137" s="389"/>
      <c r="M137" s="449">
        <f t="shared" si="15"/>
        <v>0</v>
      </c>
      <c r="N137" s="401">
        <f t="shared" si="16"/>
        <v>0</v>
      </c>
      <c r="O137" s="542" t="s">
        <v>80</v>
      </c>
      <c r="P137" s="422">
        <v>46</v>
      </c>
      <c r="Q137" s="362"/>
    </row>
    <row r="138" spans="1:17" ht="12.95" customHeight="1" x14ac:dyDescent="0.25">
      <c r="A138" s="142"/>
      <c r="B138" s="143"/>
      <c r="C138" s="143"/>
      <c r="D138" s="143"/>
      <c r="E138" s="143"/>
      <c r="F138" s="143"/>
      <c r="G138" s="144"/>
      <c r="H138" s="144"/>
      <c r="I138" s="191"/>
      <c r="J138" s="484"/>
      <c r="K138" s="488">
        <v>133</v>
      </c>
      <c r="L138" s="389"/>
      <c r="M138" s="449">
        <f t="shared" si="15"/>
        <v>0</v>
      </c>
      <c r="N138" s="401">
        <f t="shared" si="16"/>
        <v>0</v>
      </c>
      <c r="O138" s="555" t="s">
        <v>93</v>
      </c>
      <c r="P138" s="444">
        <v>159</v>
      </c>
      <c r="Q138" s="456" t="s">
        <v>347</v>
      </c>
    </row>
    <row r="139" spans="1:17" ht="12.95" customHeight="1" x14ac:dyDescent="0.25">
      <c r="A139" s="142"/>
      <c r="B139" s="143"/>
      <c r="C139" s="143"/>
      <c r="D139" s="143"/>
      <c r="E139" s="143"/>
      <c r="F139" s="143"/>
      <c r="G139" s="144"/>
      <c r="H139" s="144"/>
      <c r="I139" s="191"/>
      <c r="J139" s="483"/>
      <c r="K139" s="487">
        <v>8</v>
      </c>
      <c r="L139" s="389"/>
      <c r="M139" s="449">
        <f t="shared" si="15"/>
        <v>0</v>
      </c>
      <c r="N139" s="401">
        <f t="shared" si="16"/>
        <v>0</v>
      </c>
      <c r="O139" s="555" t="s">
        <v>90</v>
      </c>
      <c r="P139" s="444">
        <v>159</v>
      </c>
      <c r="Q139" s="362"/>
    </row>
    <row r="140" spans="1:17" ht="12.95" customHeight="1" thickBot="1" x14ac:dyDescent="0.3">
      <c r="A140" s="142"/>
      <c r="B140" s="143"/>
      <c r="C140" s="143"/>
      <c r="D140" s="143"/>
      <c r="E140" s="143"/>
      <c r="F140" s="143"/>
      <c r="G140" s="144"/>
      <c r="H140" s="144"/>
      <c r="I140" s="191"/>
      <c r="J140" s="485"/>
      <c r="K140" s="489">
        <v>1</v>
      </c>
      <c r="L140" s="400"/>
      <c r="M140" s="450">
        <f>SUM(J140,L140)</f>
        <v>0</v>
      </c>
      <c r="N140" s="402">
        <f>M140/$E$109</f>
        <v>0</v>
      </c>
      <c r="O140" s="553" t="s">
        <v>181</v>
      </c>
      <c r="P140" s="445">
        <v>159</v>
      </c>
      <c r="Q140" s="362"/>
    </row>
    <row r="141" spans="1:17" ht="12.95" customHeight="1" thickBot="1" x14ac:dyDescent="0.3">
      <c r="A141" s="142"/>
      <c r="B141" s="143"/>
      <c r="C141" s="143"/>
      <c r="D141" s="143"/>
      <c r="E141" s="143"/>
      <c r="F141" s="143"/>
      <c r="G141" s="144"/>
      <c r="H141" s="144"/>
      <c r="I141" s="192"/>
      <c r="J141" s="372"/>
      <c r="K141" s="372"/>
      <c r="L141" s="373"/>
      <c r="M141" s="369"/>
      <c r="N141" s="374"/>
      <c r="O141" s="424" t="s">
        <v>257</v>
      </c>
      <c r="P141" s="375"/>
      <c r="Q141" s="362"/>
    </row>
    <row r="142" spans="1:17" ht="12.95" customHeight="1" x14ac:dyDescent="0.25">
      <c r="A142" s="142"/>
      <c r="B142" s="143"/>
      <c r="C142" s="143"/>
      <c r="D142" s="143"/>
      <c r="E142" s="143"/>
      <c r="F142" s="143"/>
      <c r="G142" s="144"/>
      <c r="H142" s="144"/>
      <c r="I142" s="192"/>
      <c r="J142" s="376">
        <v>4</v>
      </c>
      <c r="K142" s="376"/>
      <c r="L142" s="390"/>
      <c r="M142" s="502">
        <f t="shared" ref="M142:M157" si="17">SUM(J142,L142)</f>
        <v>4</v>
      </c>
      <c r="N142" s="507">
        <f>M142/$E$109</f>
        <v>1.9704433497536944E-3</v>
      </c>
      <c r="O142" s="550" t="s">
        <v>12</v>
      </c>
      <c r="P142" s="421">
        <v>159</v>
      </c>
      <c r="Q142" s="362"/>
    </row>
    <row r="143" spans="1:17" ht="12.95" customHeight="1" x14ac:dyDescent="0.25">
      <c r="A143" s="142"/>
      <c r="B143" s="143"/>
      <c r="C143" s="143"/>
      <c r="D143" s="143"/>
      <c r="E143" s="143" t="s">
        <v>97</v>
      </c>
      <c r="F143" s="143"/>
      <c r="G143" s="144"/>
      <c r="H143" s="144"/>
      <c r="I143" s="192"/>
      <c r="J143" s="370">
        <v>51</v>
      </c>
      <c r="K143" s="365"/>
      <c r="L143" s="392"/>
      <c r="M143" s="503">
        <f t="shared" si="17"/>
        <v>51</v>
      </c>
      <c r="N143" s="501">
        <f>M143/$E$109</f>
        <v>2.5123152709359605E-2</v>
      </c>
      <c r="O143" s="542" t="s">
        <v>163</v>
      </c>
      <c r="P143" s="422">
        <v>679</v>
      </c>
      <c r="Q143" s="362"/>
    </row>
    <row r="144" spans="1:17" ht="12.95" customHeight="1" x14ac:dyDescent="0.25">
      <c r="A144" s="142"/>
      <c r="B144" s="143"/>
      <c r="C144" s="143"/>
      <c r="D144" s="143"/>
      <c r="E144" s="143"/>
      <c r="F144" s="143"/>
      <c r="G144" s="144"/>
      <c r="H144" s="144"/>
      <c r="I144" s="192"/>
      <c r="J144" s="377"/>
      <c r="K144" s="386"/>
      <c r="L144" s="394"/>
      <c r="M144" s="503">
        <f t="shared" si="17"/>
        <v>0</v>
      </c>
      <c r="N144" s="501">
        <f t="shared" ref="N144:N156" si="18">M144/$E$109</f>
        <v>0</v>
      </c>
      <c r="O144" s="542" t="s">
        <v>164</v>
      </c>
      <c r="P144" s="422">
        <v>46</v>
      </c>
      <c r="Q144" s="362"/>
    </row>
    <row r="145" spans="1:17" ht="12.95" customHeight="1" x14ac:dyDescent="0.25">
      <c r="A145" s="142"/>
      <c r="B145" s="143"/>
      <c r="C145" s="143"/>
      <c r="D145" s="143"/>
      <c r="E145" s="143"/>
      <c r="F145" s="143"/>
      <c r="G145" s="144"/>
      <c r="H145" s="144"/>
      <c r="I145" s="192"/>
      <c r="J145" s="370">
        <v>5</v>
      </c>
      <c r="K145" s="387"/>
      <c r="L145" s="393"/>
      <c r="M145" s="503">
        <f t="shared" si="17"/>
        <v>5</v>
      </c>
      <c r="N145" s="501">
        <f t="shared" si="18"/>
        <v>2.4630541871921183E-3</v>
      </c>
      <c r="O145" s="542" t="s">
        <v>174</v>
      </c>
      <c r="P145" s="422">
        <v>388</v>
      </c>
      <c r="Q145" s="362"/>
    </row>
    <row r="146" spans="1:17" ht="12.95" customHeight="1" x14ac:dyDescent="0.25">
      <c r="A146" s="142"/>
      <c r="B146" s="143"/>
      <c r="C146" s="143"/>
      <c r="D146" s="143"/>
      <c r="E146" s="143"/>
      <c r="F146" s="143"/>
      <c r="G146" s="144"/>
      <c r="H146" s="144"/>
      <c r="I146" s="192"/>
      <c r="J146" s="370">
        <v>8</v>
      </c>
      <c r="K146" s="387"/>
      <c r="L146" s="393"/>
      <c r="M146" s="503">
        <f t="shared" si="17"/>
        <v>8</v>
      </c>
      <c r="N146" s="501">
        <f t="shared" si="18"/>
        <v>3.9408866995073889E-3</v>
      </c>
      <c r="O146" s="542" t="s">
        <v>117</v>
      </c>
      <c r="P146" s="422">
        <v>388</v>
      </c>
      <c r="Q146" s="362"/>
    </row>
    <row r="147" spans="1:17" ht="12.95" customHeight="1" x14ac:dyDescent="0.25">
      <c r="A147" s="142"/>
      <c r="B147" s="143"/>
      <c r="C147" s="143"/>
      <c r="D147" s="143"/>
      <c r="E147" s="143"/>
      <c r="F147" s="143"/>
      <c r="G147" s="144"/>
      <c r="H147" s="144"/>
      <c r="I147" s="192"/>
      <c r="J147" s="370">
        <v>2</v>
      </c>
      <c r="K147" s="387"/>
      <c r="L147" s="393"/>
      <c r="M147" s="503">
        <f t="shared" si="17"/>
        <v>2</v>
      </c>
      <c r="N147" s="501">
        <f t="shared" si="18"/>
        <v>9.8522167487684722E-4</v>
      </c>
      <c r="O147" s="542" t="s">
        <v>346</v>
      </c>
      <c r="P147" s="422">
        <v>43</v>
      </c>
      <c r="Q147" s="362"/>
    </row>
    <row r="148" spans="1:17" ht="12.95" customHeight="1" x14ac:dyDescent="0.25">
      <c r="A148" s="142"/>
      <c r="B148" s="143"/>
      <c r="C148" s="143"/>
      <c r="D148" s="143"/>
      <c r="E148" s="143"/>
      <c r="F148" s="143"/>
      <c r="G148" s="144"/>
      <c r="H148" s="144"/>
      <c r="I148" s="145"/>
      <c r="J148" s="370">
        <v>1</v>
      </c>
      <c r="K148" s="387"/>
      <c r="L148" s="393"/>
      <c r="M148" s="503">
        <f t="shared" si="17"/>
        <v>1</v>
      </c>
      <c r="N148" s="501">
        <f t="shared" si="18"/>
        <v>4.9261083743842361E-4</v>
      </c>
      <c r="O148" s="542" t="s">
        <v>177</v>
      </c>
      <c r="P148" s="422">
        <v>159</v>
      </c>
      <c r="Q148" s="362"/>
    </row>
    <row r="149" spans="1:17" ht="12.95" customHeight="1" x14ac:dyDescent="0.25">
      <c r="A149" s="142"/>
      <c r="B149" s="143"/>
      <c r="C149" s="143"/>
      <c r="D149" s="143"/>
      <c r="E149" s="143"/>
      <c r="F149" s="143"/>
      <c r="G149" s="144"/>
      <c r="H149" s="144"/>
      <c r="I149" s="145"/>
      <c r="J149" s="379">
        <v>31</v>
      </c>
      <c r="K149" s="387"/>
      <c r="L149" s="385"/>
      <c r="M149" s="503">
        <f t="shared" si="17"/>
        <v>31</v>
      </c>
      <c r="N149" s="501">
        <f t="shared" si="18"/>
        <v>1.5270935960591134E-2</v>
      </c>
      <c r="O149" s="541" t="s">
        <v>108</v>
      </c>
      <c r="P149" s="422">
        <v>117</v>
      </c>
      <c r="Q149" s="362"/>
    </row>
    <row r="150" spans="1:17" ht="12.95" customHeight="1" x14ac:dyDescent="0.25">
      <c r="A150" s="142"/>
      <c r="B150" s="143"/>
      <c r="C150" s="143"/>
      <c r="D150" s="143"/>
      <c r="E150" s="143"/>
      <c r="F150" s="143"/>
      <c r="G150" s="144"/>
      <c r="H150" s="144"/>
      <c r="I150" s="145"/>
      <c r="J150" s="379">
        <v>1</v>
      </c>
      <c r="K150" s="387"/>
      <c r="L150" s="385"/>
      <c r="M150" s="503">
        <f t="shared" si="17"/>
        <v>1</v>
      </c>
      <c r="N150" s="501">
        <f t="shared" si="18"/>
        <v>4.9261083743842361E-4</v>
      </c>
      <c r="O150" s="542" t="s">
        <v>118</v>
      </c>
      <c r="P150" s="422">
        <v>665</v>
      </c>
      <c r="Q150" s="362"/>
    </row>
    <row r="151" spans="1:17" ht="12.95" customHeight="1" x14ac:dyDescent="0.25">
      <c r="A151" s="142"/>
      <c r="B151" s="143"/>
      <c r="C151" s="143"/>
      <c r="D151" s="143"/>
      <c r="E151" s="143"/>
      <c r="F151" s="143"/>
      <c r="G151" s="144"/>
      <c r="H151" s="144"/>
      <c r="I151" s="145"/>
      <c r="J151" s="379">
        <v>1</v>
      </c>
      <c r="K151" s="387"/>
      <c r="L151" s="393"/>
      <c r="M151" s="503">
        <f t="shared" si="17"/>
        <v>1</v>
      </c>
      <c r="N151" s="501">
        <f t="shared" si="18"/>
        <v>4.9261083743842361E-4</v>
      </c>
      <c r="O151" s="542" t="s">
        <v>345</v>
      </c>
      <c r="P151" s="422">
        <v>65</v>
      </c>
      <c r="Q151" s="362"/>
    </row>
    <row r="152" spans="1:17" ht="12.95" customHeight="1" x14ac:dyDescent="0.25">
      <c r="A152" s="142"/>
      <c r="B152" s="143"/>
      <c r="C152" s="143"/>
      <c r="D152" s="143"/>
      <c r="E152" s="143"/>
      <c r="F152" s="143"/>
      <c r="G152" s="144"/>
      <c r="H152" s="144"/>
      <c r="I152" s="145"/>
      <c r="J152" s="379">
        <v>1</v>
      </c>
      <c r="K152" s="387"/>
      <c r="L152" s="393"/>
      <c r="M152" s="503">
        <f t="shared" si="17"/>
        <v>1</v>
      </c>
      <c r="N152" s="501">
        <f t="shared" si="18"/>
        <v>4.9261083743842361E-4</v>
      </c>
      <c r="O152" s="542" t="s">
        <v>343</v>
      </c>
      <c r="P152" s="422">
        <v>164</v>
      </c>
      <c r="Q152" s="362"/>
    </row>
    <row r="153" spans="1:17" ht="12.75" customHeight="1" x14ac:dyDescent="0.25">
      <c r="A153" s="142"/>
      <c r="B153" s="143"/>
      <c r="C153" s="143"/>
      <c r="D153" s="143"/>
      <c r="E153" s="143"/>
      <c r="F153" s="143"/>
      <c r="G153" s="144"/>
      <c r="H153" s="144"/>
      <c r="I153" s="145"/>
      <c r="J153" s="379">
        <v>18</v>
      </c>
      <c r="K153" s="387"/>
      <c r="L153" s="393"/>
      <c r="M153" s="503">
        <f t="shared" si="17"/>
        <v>18</v>
      </c>
      <c r="N153" s="501">
        <f t="shared" si="18"/>
        <v>8.8669950738916262E-3</v>
      </c>
      <c r="O153" s="542" t="s">
        <v>278</v>
      </c>
      <c r="P153" s="422">
        <v>65</v>
      </c>
      <c r="Q153" s="362"/>
    </row>
    <row r="154" spans="1:17" ht="12.95" customHeight="1" x14ac:dyDescent="0.25">
      <c r="A154" s="142"/>
      <c r="B154" s="143"/>
      <c r="C154" s="143"/>
      <c r="D154" s="143"/>
      <c r="E154" s="143"/>
      <c r="F154" s="143"/>
      <c r="G154" s="144"/>
      <c r="H154" s="144"/>
      <c r="I154" s="145"/>
      <c r="J154" s="379">
        <v>1</v>
      </c>
      <c r="K154" s="387"/>
      <c r="L154" s="393"/>
      <c r="M154" s="503">
        <f t="shared" si="17"/>
        <v>1</v>
      </c>
      <c r="N154" s="501">
        <f t="shared" si="18"/>
        <v>4.9261083743842361E-4</v>
      </c>
      <c r="O154" s="542" t="s">
        <v>342</v>
      </c>
      <c r="P154" s="422">
        <v>65</v>
      </c>
      <c r="Q154" s="362"/>
    </row>
    <row r="155" spans="1:17" ht="12.95" customHeight="1" x14ac:dyDescent="0.25">
      <c r="A155" s="142"/>
      <c r="B155" s="143"/>
      <c r="C155" s="143"/>
      <c r="D155" s="143"/>
      <c r="E155" s="143"/>
      <c r="F155" s="143"/>
      <c r="G155" s="144"/>
      <c r="H155" s="144"/>
      <c r="I155" s="145"/>
      <c r="J155" s="370">
        <v>58</v>
      </c>
      <c r="K155" s="387"/>
      <c r="L155" s="393"/>
      <c r="M155" s="503">
        <f t="shared" si="17"/>
        <v>58</v>
      </c>
      <c r="N155" s="501">
        <f t="shared" si="18"/>
        <v>2.8571428571428571E-2</v>
      </c>
      <c r="O155" s="542" t="s">
        <v>341</v>
      </c>
      <c r="P155" s="422">
        <v>639</v>
      </c>
      <c r="Q155" s="362"/>
    </row>
    <row r="156" spans="1:17" ht="12.95" customHeight="1" x14ac:dyDescent="0.25">
      <c r="A156" s="142"/>
      <c r="B156" s="143"/>
      <c r="C156" s="143"/>
      <c r="D156" s="143"/>
      <c r="E156" s="143"/>
      <c r="F156" s="143"/>
      <c r="G156" s="144"/>
      <c r="H156" s="144"/>
      <c r="I156" s="145"/>
      <c r="J156" s="370">
        <v>5</v>
      </c>
      <c r="K156" s="387"/>
      <c r="L156" s="393"/>
      <c r="M156" s="503">
        <f t="shared" si="17"/>
        <v>5</v>
      </c>
      <c r="N156" s="501">
        <f t="shared" si="18"/>
        <v>2.4630541871921183E-3</v>
      </c>
      <c r="O156" s="542" t="s">
        <v>344</v>
      </c>
      <c r="P156" s="422">
        <v>639</v>
      </c>
      <c r="Q156" s="362"/>
    </row>
    <row r="157" spans="1:17" ht="12.75" customHeight="1" thickBot="1" x14ac:dyDescent="0.3">
      <c r="A157" s="150"/>
      <c r="B157" s="151"/>
      <c r="C157" s="151"/>
      <c r="D157" s="151"/>
      <c r="E157" s="151"/>
      <c r="F157" s="151"/>
      <c r="G157" s="152"/>
      <c r="H157" s="152"/>
      <c r="I157" s="153"/>
      <c r="J157" s="380">
        <v>3</v>
      </c>
      <c r="K157" s="388"/>
      <c r="L157" s="404"/>
      <c r="M157" s="506">
        <f t="shared" si="17"/>
        <v>3</v>
      </c>
      <c r="N157" s="402">
        <f>M157/$E$109</f>
        <v>1.477832512315271E-3</v>
      </c>
      <c r="O157" s="551" t="s">
        <v>85</v>
      </c>
      <c r="P157" s="423">
        <v>43</v>
      </c>
      <c r="Q157" s="381"/>
    </row>
    <row r="158" spans="1:17" ht="12.95" customHeight="1" thickBot="1" x14ac:dyDescent="0.3">
      <c r="I158" s="154" t="s">
        <v>4</v>
      </c>
      <c r="J158" s="382">
        <f>SUM(J110:J157)</f>
        <v>250</v>
      </c>
      <c r="K158" s="382">
        <f>SUM(K110:K157)</f>
        <v>174</v>
      </c>
      <c r="L158" s="382">
        <f>SUM(L110:L131,L144:L157,L133:L140)</f>
        <v>63</v>
      </c>
      <c r="M158" s="403">
        <f>SUM(M110:M157)</f>
        <v>313</v>
      </c>
      <c r="N158" s="398">
        <f>M158/$E$109</f>
        <v>0.1541871921182266</v>
      </c>
      <c r="O158" s="383"/>
      <c r="P158" s="383"/>
      <c r="Q158" s="384"/>
    </row>
    <row r="160" spans="1:17" ht="15.75" thickBot="1" x14ac:dyDescent="0.3"/>
    <row r="161" spans="1:17" ht="26.25" thickBot="1" x14ac:dyDescent="0.3">
      <c r="A161" s="434" t="s">
        <v>249</v>
      </c>
      <c r="B161" s="434" t="s">
        <v>47</v>
      </c>
      <c r="C161" s="434" t="s">
        <v>243</v>
      </c>
      <c r="D161" s="434" t="s">
        <v>242</v>
      </c>
      <c r="E161" s="434" t="s">
        <v>246</v>
      </c>
      <c r="F161" s="434" t="s">
        <v>16</v>
      </c>
      <c r="G161" s="76" t="s">
        <v>1</v>
      </c>
      <c r="H161" s="76" t="s">
        <v>86</v>
      </c>
      <c r="I161" s="435" t="s">
        <v>23</v>
      </c>
      <c r="J161" s="436" t="s">
        <v>266</v>
      </c>
      <c r="K161" s="437" t="s">
        <v>247</v>
      </c>
      <c r="L161" s="434" t="s">
        <v>248</v>
      </c>
      <c r="M161" s="434" t="s">
        <v>4</v>
      </c>
      <c r="N161" s="434" t="s">
        <v>2</v>
      </c>
      <c r="O161" s="434" t="s">
        <v>20</v>
      </c>
      <c r="P161" s="434" t="s">
        <v>69</v>
      </c>
      <c r="Q161" s="438" t="s">
        <v>6</v>
      </c>
    </row>
    <row r="162" spans="1:17" ht="15.75" thickBot="1" x14ac:dyDescent="0.3">
      <c r="A162" s="406">
        <v>1516803</v>
      </c>
      <c r="B162" s="406" t="s">
        <v>244</v>
      </c>
      <c r="C162" s="406" t="s">
        <v>300</v>
      </c>
      <c r="D162" s="406">
        <v>1920</v>
      </c>
      <c r="E162" s="406">
        <v>2033</v>
      </c>
      <c r="F162" s="407">
        <v>1839</v>
      </c>
      <c r="G162" s="408">
        <f>F162/E162</f>
        <v>0.90457452041318254</v>
      </c>
      <c r="H162" s="408">
        <f>$K$52/E162</f>
        <v>6.9847515986227252E-2</v>
      </c>
      <c r="I162" s="409">
        <v>45344</v>
      </c>
      <c r="J162" s="410"/>
      <c r="K162" s="410"/>
      <c r="L162" s="411"/>
      <c r="M162" s="412"/>
      <c r="N162" s="413"/>
      <c r="O162" s="414" t="s">
        <v>250</v>
      </c>
      <c r="P162" s="414"/>
      <c r="Q162" s="358"/>
    </row>
    <row r="163" spans="1:17" ht="12" customHeight="1" x14ac:dyDescent="0.25">
      <c r="A163" s="139"/>
      <c r="B163" s="140"/>
      <c r="C163" s="140"/>
      <c r="D163" s="140"/>
      <c r="E163" s="140"/>
      <c r="F163" s="140"/>
      <c r="G163" s="141"/>
      <c r="H163" s="141"/>
      <c r="I163" s="190"/>
      <c r="J163" s="490">
        <v>9</v>
      </c>
      <c r="K163" s="486"/>
      <c r="L163" s="390"/>
      <c r="M163" s="446">
        <f t="shared" ref="M163:M183" si="19">SUM(J163,L163)</f>
        <v>9</v>
      </c>
      <c r="N163" s="415">
        <f>M163/$E$162</f>
        <v>4.426955238563699E-3</v>
      </c>
      <c r="O163" s="417" t="s">
        <v>252</v>
      </c>
      <c r="P163" s="425">
        <v>211</v>
      </c>
      <c r="Q163" s="360" t="s">
        <v>187</v>
      </c>
    </row>
    <row r="164" spans="1:17" ht="12" customHeight="1" x14ac:dyDescent="0.25">
      <c r="A164" s="142"/>
      <c r="B164" s="143"/>
      <c r="C164" s="143"/>
      <c r="D164" s="143"/>
      <c r="E164" s="143"/>
      <c r="F164" s="143"/>
      <c r="G164" s="144"/>
      <c r="H164" s="144"/>
      <c r="I164" s="191"/>
      <c r="J164" s="491">
        <v>4</v>
      </c>
      <c r="K164" s="487"/>
      <c r="L164" s="391"/>
      <c r="M164" s="447">
        <f t="shared" si="19"/>
        <v>4</v>
      </c>
      <c r="N164" s="416">
        <f>M164/$E$162</f>
        <v>1.9675356615838661E-3</v>
      </c>
      <c r="O164" s="418" t="s">
        <v>87</v>
      </c>
      <c r="P164" s="426">
        <v>141</v>
      </c>
      <c r="Q164" s="362"/>
    </row>
    <row r="165" spans="1:17" ht="12" customHeight="1" x14ac:dyDescent="0.25">
      <c r="A165" s="142"/>
      <c r="B165" s="143"/>
      <c r="C165" s="143"/>
      <c r="D165" s="143"/>
      <c r="E165" s="143"/>
      <c r="F165" s="143"/>
      <c r="G165" s="144"/>
      <c r="H165" s="144"/>
      <c r="I165" s="191"/>
      <c r="J165" s="491"/>
      <c r="K165" s="488"/>
      <c r="L165" s="392"/>
      <c r="M165" s="447">
        <f t="shared" si="19"/>
        <v>0</v>
      </c>
      <c r="N165" s="416">
        <f t="shared" ref="N165:N182" si="20">M165/$E$162</f>
        <v>0</v>
      </c>
      <c r="O165" s="419" t="s">
        <v>7</v>
      </c>
      <c r="P165" s="427">
        <v>140</v>
      </c>
      <c r="Q165" s="362"/>
    </row>
    <row r="166" spans="1:17" ht="12" customHeight="1" x14ac:dyDescent="0.25">
      <c r="A166" s="142"/>
      <c r="B166" s="143"/>
      <c r="C166" s="143"/>
      <c r="D166" s="143"/>
      <c r="E166" s="143"/>
      <c r="F166" s="143"/>
      <c r="G166" s="144"/>
      <c r="H166" s="144"/>
      <c r="I166" s="191"/>
      <c r="J166" s="491">
        <v>6</v>
      </c>
      <c r="K166" s="487"/>
      <c r="L166" s="392"/>
      <c r="M166" s="447">
        <f t="shared" si="19"/>
        <v>6</v>
      </c>
      <c r="N166" s="416">
        <f t="shared" si="20"/>
        <v>2.9513034923757992E-3</v>
      </c>
      <c r="O166" s="419" t="s">
        <v>8</v>
      </c>
      <c r="P166" s="427">
        <v>210</v>
      </c>
      <c r="Q166" s="362"/>
    </row>
    <row r="167" spans="1:17" ht="12" customHeight="1" x14ac:dyDescent="0.25">
      <c r="A167" s="142"/>
      <c r="B167" s="143"/>
      <c r="C167" s="143"/>
      <c r="D167" s="143"/>
      <c r="E167" s="143"/>
      <c r="F167" s="143"/>
      <c r="G167" s="144"/>
      <c r="H167" s="144"/>
      <c r="I167" s="191"/>
      <c r="J167" s="491">
        <v>26</v>
      </c>
      <c r="K167" s="488"/>
      <c r="L167" s="392">
        <v>3</v>
      </c>
      <c r="M167" s="447">
        <f t="shared" si="19"/>
        <v>29</v>
      </c>
      <c r="N167" s="416">
        <f t="shared" si="20"/>
        <v>1.4264633546483029E-2</v>
      </c>
      <c r="O167" s="418" t="s">
        <v>15</v>
      </c>
      <c r="P167" s="426">
        <v>355</v>
      </c>
      <c r="Q167" s="362"/>
    </row>
    <row r="168" spans="1:17" ht="12" customHeight="1" x14ac:dyDescent="0.25">
      <c r="A168" s="142"/>
      <c r="B168" s="143"/>
      <c r="C168" s="143"/>
      <c r="D168" s="143"/>
      <c r="E168" s="143"/>
      <c r="F168" s="143"/>
      <c r="G168" s="144"/>
      <c r="H168" s="144"/>
      <c r="I168" s="191"/>
      <c r="J168" s="491">
        <v>1</v>
      </c>
      <c r="K168" s="488"/>
      <c r="L168" s="392"/>
      <c r="M168" s="447">
        <f t="shared" si="19"/>
        <v>1</v>
      </c>
      <c r="N168" s="416">
        <f t="shared" si="20"/>
        <v>4.9188391539596653E-4</v>
      </c>
      <c r="O168" s="418" t="s">
        <v>88</v>
      </c>
      <c r="P168" s="426">
        <v>178</v>
      </c>
      <c r="Q168" s="362"/>
    </row>
    <row r="169" spans="1:17" ht="12" customHeight="1" x14ac:dyDescent="0.25">
      <c r="A169" s="142"/>
      <c r="B169" s="143"/>
      <c r="C169" s="143"/>
      <c r="D169" s="143"/>
      <c r="E169" s="143"/>
      <c r="F169" s="143"/>
      <c r="G169" s="144"/>
      <c r="H169" s="144"/>
      <c r="I169" s="191"/>
      <c r="J169" s="491"/>
      <c r="K169" s="487"/>
      <c r="L169" s="392">
        <v>2</v>
      </c>
      <c r="M169" s="447">
        <f t="shared" si="19"/>
        <v>2</v>
      </c>
      <c r="N169" s="416">
        <f t="shared" si="20"/>
        <v>9.8376783079193305E-4</v>
      </c>
      <c r="O169" s="418" t="s">
        <v>34</v>
      </c>
      <c r="P169" s="426">
        <v>176</v>
      </c>
      <c r="Q169" s="362"/>
    </row>
    <row r="170" spans="1:17" ht="12" customHeight="1" x14ac:dyDescent="0.25">
      <c r="A170" s="142"/>
      <c r="B170" s="143"/>
      <c r="C170" s="143"/>
      <c r="D170" s="143"/>
      <c r="E170" s="143"/>
      <c r="F170" s="143"/>
      <c r="G170" s="144"/>
      <c r="H170" s="144"/>
      <c r="I170" s="191"/>
      <c r="J170" s="491">
        <v>4</v>
      </c>
      <c r="K170" s="488"/>
      <c r="L170" s="392"/>
      <c r="M170" s="447">
        <f t="shared" si="19"/>
        <v>4</v>
      </c>
      <c r="N170" s="416">
        <f t="shared" si="20"/>
        <v>1.9675356615838661E-3</v>
      </c>
      <c r="O170" s="418" t="s">
        <v>3</v>
      </c>
      <c r="P170" s="426">
        <v>44</v>
      </c>
      <c r="Q170" s="362"/>
    </row>
    <row r="171" spans="1:17" ht="12" customHeight="1" x14ac:dyDescent="0.25">
      <c r="A171" s="142"/>
      <c r="B171" s="143"/>
      <c r="C171" s="143"/>
      <c r="D171" s="143"/>
      <c r="E171" s="143"/>
      <c r="F171" s="143"/>
      <c r="G171" s="144"/>
      <c r="H171" s="144"/>
      <c r="I171" s="191"/>
      <c r="J171" s="491"/>
      <c r="K171" s="488"/>
      <c r="L171" s="392"/>
      <c r="M171" s="447">
        <f t="shared" si="19"/>
        <v>0</v>
      </c>
      <c r="N171" s="416">
        <f t="shared" si="20"/>
        <v>0</v>
      </c>
      <c r="O171" s="418" t="s">
        <v>19</v>
      </c>
      <c r="P171" s="426">
        <v>119</v>
      </c>
      <c r="Q171" s="362"/>
    </row>
    <row r="172" spans="1:17" ht="12" customHeight="1" x14ac:dyDescent="0.25">
      <c r="A172" s="142"/>
      <c r="B172" s="143"/>
      <c r="C172" s="143"/>
      <c r="D172" s="143"/>
      <c r="E172" s="143"/>
      <c r="F172" s="143"/>
      <c r="G172" s="144"/>
      <c r="H172" s="144"/>
      <c r="I172" s="191"/>
      <c r="J172" s="491">
        <v>2</v>
      </c>
      <c r="K172" s="385"/>
      <c r="L172" s="393"/>
      <c r="M172" s="447">
        <f t="shared" si="19"/>
        <v>2</v>
      </c>
      <c r="N172" s="416">
        <f t="shared" si="20"/>
        <v>9.8376783079193305E-4</v>
      </c>
      <c r="O172" s="418" t="s">
        <v>351</v>
      </c>
      <c r="P172" s="426">
        <v>65</v>
      </c>
      <c r="Q172" s="362"/>
    </row>
    <row r="173" spans="1:17" ht="12" customHeight="1" x14ac:dyDescent="0.25">
      <c r="A173" s="142"/>
      <c r="B173" s="143"/>
      <c r="C173" s="143"/>
      <c r="D173" s="143"/>
      <c r="E173" s="143"/>
      <c r="F173" s="143"/>
      <c r="G173" s="144"/>
      <c r="H173" s="144"/>
      <c r="I173" s="191"/>
      <c r="J173" s="491"/>
      <c r="K173" s="487"/>
      <c r="L173" s="392"/>
      <c r="M173" s="447">
        <f t="shared" si="19"/>
        <v>0</v>
      </c>
      <c r="N173" s="416">
        <f t="shared" si="20"/>
        <v>0</v>
      </c>
      <c r="O173" s="541" t="s">
        <v>108</v>
      </c>
      <c r="P173" s="426">
        <v>117</v>
      </c>
      <c r="Q173" s="362"/>
    </row>
    <row r="174" spans="1:17" ht="12" customHeight="1" x14ac:dyDescent="0.25">
      <c r="A174" s="142"/>
      <c r="B174" s="143"/>
      <c r="C174" s="143"/>
      <c r="D174" s="143"/>
      <c r="E174" s="143"/>
      <c r="F174" s="143"/>
      <c r="G174" s="144"/>
      <c r="H174" s="144"/>
      <c r="I174" s="191"/>
      <c r="J174" s="491"/>
      <c r="K174" s="487"/>
      <c r="L174" s="392"/>
      <c r="M174" s="447">
        <f t="shared" si="19"/>
        <v>0</v>
      </c>
      <c r="N174" s="416">
        <f t="shared" si="20"/>
        <v>0</v>
      </c>
      <c r="O174" s="418" t="s">
        <v>255</v>
      </c>
      <c r="P174" s="426">
        <v>704</v>
      </c>
      <c r="Q174" s="362"/>
    </row>
    <row r="175" spans="1:17" ht="12" customHeight="1" x14ac:dyDescent="0.25">
      <c r="A175" s="142"/>
      <c r="B175" s="143"/>
      <c r="C175" s="143"/>
      <c r="D175" s="143"/>
      <c r="E175" s="143"/>
      <c r="F175" s="143"/>
      <c r="G175" s="144"/>
      <c r="H175" s="144"/>
      <c r="I175" s="191"/>
      <c r="J175" s="491"/>
      <c r="K175" s="487"/>
      <c r="L175" s="392"/>
      <c r="M175" s="447">
        <f t="shared" si="19"/>
        <v>0</v>
      </c>
      <c r="N175" s="416">
        <f t="shared" si="20"/>
        <v>0</v>
      </c>
      <c r="O175" s="418" t="s">
        <v>256</v>
      </c>
      <c r="P175" s="426">
        <v>705</v>
      </c>
      <c r="Q175" s="362"/>
    </row>
    <row r="176" spans="1:17" ht="12" customHeight="1" x14ac:dyDescent="0.25">
      <c r="A176" s="142"/>
      <c r="B176" s="143"/>
      <c r="C176" s="143"/>
      <c r="D176" s="143"/>
      <c r="E176" s="143"/>
      <c r="F176" s="143"/>
      <c r="G176" s="144"/>
      <c r="H176" s="144"/>
      <c r="I176" s="191"/>
      <c r="J176" s="491">
        <v>3</v>
      </c>
      <c r="K176" s="487"/>
      <c r="L176" s="392"/>
      <c r="M176" s="447">
        <f t="shared" si="19"/>
        <v>3</v>
      </c>
      <c r="N176" s="416">
        <f t="shared" si="20"/>
        <v>1.4756517461878996E-3</v>
      </c>
      <c r="O176" s="418" t="s">
        <v>27</v>
      </c>
      <c r="P176" s="426">
        <v>58</v>
      </c>
      <c r="Q176" s="362"/>
    </row>
    <row r="177" spans="1:17" ht="12" customHeight="1" x14ac:dyDescent="0.25">
      <c r="A177" s="142"/>
      <c r="B177" s="143"/>
      <c r="C177" s="143"/>
      <c r="D177" s="143"/>
      <c r="E177" s="143"/>
      <c r="F177" s="143"/>
      <c r="G177" s="144"/>
      <c r="H177" s="144"/>
      <c r="I177" s="191"/>
      <c r="J177" s="491"/>
      <c r="K177" s="487"/>
      <c r="L177" s="392"/>
      <c r="M177" s="447">
        <f t="shared" si="19"/>
        <v>0</v>
      </c>
      <c r="N177" s="416">
        <f t="shared" si="20"/>
        <v>0</v>
      </c>
      <c r="O177" s="418" t="s">
        <v>200</v>
      </c>
      <c r="P177" s="426">
        <v>70</v>
      </c>
      <c r="Q177" s="362"/>
    </row>
    <row r="178" spans="1:17" ht="12" customHeight="1" x14ac:dyDescent="0.25">
      <c r="A178" s="142"/>
      <c r="B178" s="143"/>
      <c r="C178" s="143"/>
      <c r="D178" s="143"/>
      <c r="E178" s="143"/>
      <c r="F178" s="143"/>
      <c r="G178" s="144"/>
      <c r="H178" s="144"/>
      <c r="I178" s="191"/>
      <c r="J178" s="491">
        <v>1</v>
      </c>
      <c r="K178" s="492"/>
      <c r="L178" s="394"/>
      <c r="M178" s="447">
        <f t="shared" si="19"/>
        <v>1</v>
      </c>
      <c r="N178" s="416">
        <f t="shared" si="20"/>
        <v>4.9188391539596653E-4</v>
      </c>
      <c r="O178" s="418" t="s">
        <v>356</v>
      </c>
      <c r="P178" s="426">
        <v>265</v>
      </c>
      <c r="Q178" s="362"/>
    </row>
    <row r="179" spans="1:17" ht="12" customHeight="1" x14ac:dyDescent="0.25">
      <c r="A179" s="142"/>
      <c r="B179" s="143"/>
      <c r="C179" s="143"/>
      <c r="D179" s="143" t="s">
        <v>100</v>
      </c>
      <c r="E179" s="143"/>
      <c r="F179" s="143"/>
      <c r="G179" s="144"/>
      <c r="H179" s="144"/>
      <c r="I179" s="191"/>
      <c r="J179" s="491"/>
      <c r="K179" s="487"/>
      <c r="L179" s="392"/>
      <c r="M179" s="447">
        <f t="shared" si="19"/>
        <v>0</v>
      </c>
      <c r="N179" s="416">
        <f t="shared" si="20"/>
        <v>0</v>
      </c>
      <c r="O179" s="418" t="s">
        <v>71</v>
      </c>
      <c r="P179" s="426">
        <v>388</v>
      </c>
      <c r="Q179" s="362"/>
    </row>
    <row r="180" spans="1:17" ht="12" customHeight="1" x14ac:dyDescent="0.25">
      <c r="A180" s="142"/>
      <c r="B180" s="143"/>
      <c r="C180" s="143"/>
      <c r="D180" s="143"/>
      <c r="E180" s="143"/>
      <c r="F180" s="143"/>
      <c r="G180" s="144"/>
      <c r="H180" s="144"/>
      <c r="I180" s="191"/>
      <c r="J180" s="491"/>
      <c r="K180" s="487"/>
      <c r="L180" s="392"/>
      <c r="M180" s="447">
        <f t="shared" si="19"/>
        <v>0</v>
      </c>
      <c r="N180" s="416">
        <f t="shared" si="20"/>
        <v>0</v>
      </c>
      <c r="O180" s="418" t="s">
        <v>163</v>
      </c>
      <c r="P180" s="426">
        <v>679</v>
      </c>
      <c r="Q180" s="362"/>
    </row>
    <row r="181" spans="1:17" ht="12" customHeight="1" x14ac:dyDescent="0.25">
      <c r="A181" s="142"/>
      <c r="B181" s="143"/>
      <c r="C181" s="143"/>
      <c r="D181" s="143"/>
      <c r="E181" s="143"/>
      <c r="F181" s="143"/>
      <c r="G181" s="144"/>
      <c r="H181" s="144"/>
      <c r="I181" s="191"/>
      <c r="J181" s="483"/>
      <c r="K181" s="487"/>
      <c r="L181" s="392"/>
      <c r="M181" s="447">
        <f t="shared" si="19"/>
        <v>0</v>
      </c>
      <c r="N181" s="416">
        <f t="shared" si="20"/>
        <v>0</v>
      </c>
      <c r="O181" s="418" t="s">
        <v>85</v>
      </c>
      <c r="P181" s="426">
        <v>43</v>
      </c>
      <c r="Q181" s="362"/>
    </row>
    <row r="182" spans="1:17" ht="12" customHeight="1" x14ac:dyDescent="0.25">
      <c r="A182" s="142"/>
      <c r="B182" s="143"/>
      <c r="C182" s="143"/>
      <c r="D182" s="143"/>
      <c r="E182" s="143"/>
      <c r="F182" s="143"/>
      <c r="G182" s="144"/>
      <c r="H182" s="144"/>
      <c r="I182" s="191"/>
      <c r="J182" s="483">
        <v>1</v>
      </c>
      <c r="K182" s="487"/>
      <c r="L182" s="392"/>
      <c r="M182" s="447">
        <f t="shared" ref="M182" si="21">SUM(J182,L182)</f>
        <v>1</v>
      </c>
      <c r="N182" s="416">
        <f t="shared" si="20"/>
        <v>4.9188391539596653E-4</v>
      </c>
      <c r="O182" s="542" t="s">
        <v>80</v>
      </c>
      <c r="P182" s="422">
        <v>46</v>
      </c>
      <c r="Q182" s="362"/>
    </row>
    <row r="183" spans="1:17" ht="12" customHeight="1" thickBot="1" x14ac:dyDescent="0.3">
      <c r="A183" s="142"/>
      <c r="B183" s="143"/>
      <c r="C183" s="143"/>
      <c r="D183" s="143"/>
      <c r="E183" s="143"/>
      <c r="F183" s="143"/>
      <c r="G183" s="144"/>
      <c r="H183" s="144"/>
      <c r="I183" s="191"/>
      <c r="J183" s="483"/>
      <c r="K183" s="493"/>
      <c r="L183" s="392"/>
      <c r="M183" s="447">
        <f t="shared" si="19"/>
        <v>0</v>
      </c>
      <c r="N183" s="453">
        <f>M183/$E$162</f>
        <v>0</v>
      </c>
      <c r="O183" s="420" t="s">
        <v>277</v>
      </c>
      <c r="P183" s="428">
        <v>65</v>
      </c>
      <c r="Q183" s="362"/>
    </row>
    <row r="184" spans="1:17" ht="12" customHeight="1" thickBot="1" x14ac:dyDescent="0.3">
      <c r="A184" s="142"/>
      <c r="B184" s="143"/>
      <c r="C184" s="143"/>
      <c r="D184" s="143"/>
      <c r="E184" s="143"/>
      <c r="F184" s="143"/>
      <c r="G184" s="144"/>
      <c r="H184" s="144"/>
      <c r="I184" s="192"/>
      <c r="J184" s="367"/>
      <c r="K184" s="367"/>
      <c r="L184" s="368"/>
      <c r="M184" s="369"/>
      <c r="N184" s="369"/>
      <c r="O184" s="424" t="s">
        <v>251</v>
      </c>
      <c r="P184" s="375"/>
      <c r="Q184" s="362"/>
    </row>
    <row r="185" spans="1:17" ht="12" customHeight="1" x14ac:dyDescent="0.25">
      <c r="A185" s="142"/>
      <c r="B185" s="143"/>
      <c r="C185" s="143"/>
      <c r="D185" s="143"/>
      <c r="E185" s="143"/>
      <c r="F185" s="143"/>
      <c r="G185" s="144"/>
      <c r="H185" s="144"/>
      <c r="I185" s="191"/>
      <c r="J185" s="482">
        <v>2</v>
      </c>
      <c r="K185" s="486">
        <v>16</v>
      </c>
      <c r="L185" s="461"/>
      <c r="M185" s="498">
        <f>SUM(J185,L185)</f>
        <v>2</v>
      </c>
      <c r="N185" s="462">
        <f>M185/$E$162</f>
        <v>9.8376783079193305E-4</v>
      </c>
      <c r="O185" s="554" t="s">
        <v>91</v>
      </c>
      <c r="P185" s="443">
        <v>159</v>
      </c>
      <c r="Q185" s="439"/>
    </row>
    <row r="186" spans="1:17" ht="12" customHeight="1" x14ac:dyDescent="0.25">
      <c r="A186" s="142"/>
      <c r="B186" s="143"/>
      <c r="C186" s="143"/>
      <c r="D186" s="143"/>
      <c r="E186" s="143"/>
      <c r="F186" s="143"/>
      <c r="G186" s="144"/>
      <c r="H186" s="144"/>
      <c r="I186" s="191"/>
      <c r="J186" s="483">
        <v>2</v>
      </c>
      <c r="K186" s="487"/>
      <c r="L186" s="389"/>
      <c r="M186" s="447">
        <f>SUM(J186,L186)</f>
        <v>2</v>
      </c>
      <c r="N186" s="401">
        <f>M186/$E$162</f>
        <v>9.8376783079193305E-4</v>
      </c>
      <c r="O186" s="555" t="s">
        <v>9</v>
      </c>
      <c r="P186" s="444">
        <v>331</v>
      </c>
      <c r="Q186" s="439"/>
    </row>
    <row r="187" spans="1:17" ht="12" customHeight="1" x14ac:dyDescent="0.25">
      <c r="A187" s="142"/>
      <c r="B187" s="143"/>
      <c r="C187" s="143"/>
      <c r="D187" s="143"/>
      <c r="E187" s="143"/>
      <c r="F187" s="143"/>
      <c r="G187" s="144"/>
      <c r="H187" s="144"/>
      <c r="I187" s="191"/>
      <c r="J187" s="484"/>
      <c r="K187" s="488">
        <v>3</v>
      </c>
      <c r="L187" s="389"/>
      <c r="M187" s="447">
        <f t="shared" ref="M187:M192" si="22">SUM(J187,L187)</f>
        <v>0</v>
      </c>
      <c r="N187" s="401">
        <f t="shared" ref="N187:N192" si="23">M187/$E$162</f>
        <v>0</v>
      </c>
      <c r="O187" s="542" t="s">
        <v>94</v>
      </c>
      <c r="P187" s="422">
        <v>265</v>
      </c>
      <c r="Q187" s="439"/>
    </row>
    <row r="188" spans="1:17" ht="12" customHeight="1" x14ac:dyDescent="0.25">
      <c r="A188" s="142"/>
      <c r="B188" s="143"/>
      <c r="C188" s="143"/>
      <c r="D188" s="143"/>
      <c r="E188" s="143"/>
      <c r="F188" s="143"/>
      <c r="G188" s="144"/>
      <c r="H188" s="144"/>
      <c r="I188" s="191"/>
      <c r="J188" s="483"/>
      <c r="K188" s="487">
        <v>3</v>
      </c>
      <c r="L188" s="389"/>
      <c r="M188" s="447">
        <f t="shared" si="22"/>
        <v>0</v>
      </c>
      <c r="N188" s="401">
        <f t="shared" si="23"/>
        <v>0</v>
      </c>
      <c r="O188" s="555" t="s">
        <v>92</v>
      </c>
      <c r="P188" s="444">
        <v>159</v>
      </c>
      <c r="Q188" s="460" t="s">
        <v>352</v>
      </c>
    </row>
    <row r="189" spans="1:17" ht="12" customHeight="1" x14ac:dyDescent="0.25">
      <c r="A189" s="142"/>
      <c r="B189" s="143"/>
      <c r="C189" s="143"/>
      <c r="D189" s="143"/>
      <c r="E189" s="143"/>
      <c r="F189" s="143"/>
      <c r="G189" s="144"/>
      <c r="H189" s="144"/>
      <c r="I189" s="191"/>
      <c r="J189" s="483"/>
      <c r="K189" s="487">
        <v>1</v>
      </c>
      <c r="L189" s="389"/>
      <c r="M189" s="447">
        <f t="shared" si="22"/>
        <v>0</v>
      </c>
      <c r="N189" s="401">
        <f t="shared" si="23"/>
        <v>0</v>
      </c>
      <c r="O189" s="542" t="s">
        <v>80</v>
      </c>
      <c r="P189" s="422">
        <v>46</v>
      </c>
      <c r="Q189" s="439"/>
    </row>
    <row r="190" spans="1:17" ht="12" customHeight="1" x14ac:dyDescent="0.25">
      <c r="A190" s="142"/>
      <c r="B190" s="143"/>
      <c r="C190" s="143"/>
      <c r="D190" s="143"/>
      <c r="E190" s="143"/>
      <c r="F190" s="143"/>
      <c r="G190" s="144"/>
      <c r="H190" s="144"/>
      <c r="I190" s="191"/>
      <c r="J190" s="484">
        <v>12</v>
      </c>
      <c r="K190" s="488">
        <v>72</v>
      </c>
      <c r="L190" s="389"/>
      <c r="M190" s="447">
        <f t="shared" si="22"/>
        <v>12</v>
      </c>
      <c r="N190" s="401">
        <f t="shared" si="23"/>
        <v>5.9026069847515983E-3</v>
      </c>
      <c r="O190" s="555" t="s">
        <v>93</v>
      </c>
      <c r="P190" s="444">
        <v>159</v>
      </c>
      <c r="Q190" s="460" t="s">
        <v>357</v>
      </c>
    </row>
    <row r="191" spans="1:17" ht="12" customHeight="1" x14ac:dyDescent="0.25">
      <c r="A191" s="142"/>
      <c r="B191" s="143"/>
      <c r="C191" s="143"/>
      <c r="D191" s="143"/>
      <c r="E191" s="143"/>
      <c r="F191" s="143"/>
      <c r="G191" s="144"/>
      <c r="H191" s="144"/>
      <c r="I191" s="191"/>
      <c r="J191" s="483">
        <v>7</v>
      </c>
      <c r="K191" s="487">
        <v>6</v>
      </c>
      <c r="L191" s="389"/>
      <c r="M191" s="447">
        <f t="shared" si="22"/>
        <v>7</v>
      </c>
      <c r="N191" s="401">
        <f t="shared" si="23"/>
        <v>3.4431874077717659E-3</v>
      </c>
      <c r="O191" s="555" t="s">
        <v>90</v>
      </c>
      <c r="P191" s="444">
        <v>159</v>
      </c>
      <c r="Q191" s="439"/>
    </row>
    <row r="192" spans="1:17" ht="12" customHeight="1" x14ac:dyDescent="0.25">
      <c r="A192" s="142"/>
      <c r="B192" s="143"/>
      <c r="C192" s="143"/>
      <c r="D192" s="143"/>
      <c r="E192" s="143"/>
      <c r="F192" s="143"/>
      <c r="G192" s="144"/>
      <c r="H192" s="144"/>
      <c r="I192" s="191"/>
      <c r="J192" s="483">
        <v>1</v>
      </c>
      <c r="K192" s="488">
        <v>8</v>
      </c>
      <c r="L192" s="463">
        <v>4</v>
      </c>
      <c r="M192" s="447">
        <f t="shared" si="22"/>
        <v>5</v>
      </c>
      <c r="N192" s="401">
        <f t="shared" si="23"/>
        <v>2.4594195769798328E-3</v>
      </c>
      <c r="O192" s="556" t="s">
        <v>109</v>
      </c>
      <c r="P192" s="426">
        <v>159</v>
      </c>
      <c r="Q192" s="439"/>
    </row>
    <row r="193" spans="1:17" ht="12" customHeight="1" thickBot="1" x14ac:dyDescent="0.3">
      <c r="A193" s="142"/>
      <c r="B193" s="143"/>
      <c r="C193" s="143"/>
      <c r="D193" s="143"/>
      <c r="E193" s="143"/>
      <c r="F193" s="143"/>
      <c r="G193" s="144"/>
      <c r="H193" s="144"/>
      <c r="I193" s="191"/>
      <c r="J193" s="485"/>
      <c r="K193" s="489">
        <v>1</v>
      </c>
      <c r="L193" s="400"/>
      <c r="M193" s="504">
        <f>SUM(J193,L193)</f>
        <v>0</v>
      </c>
      <c r="N193" s="402">
        <f>M193/$E$162</f>
        <v>0</v>
      </c>
      <c r="O193" s="553" t="s">
        <v>181</v>
      </c>
      <c r="P193" s="459">
        <v>159</v>
      </c>
      <c r="Q193" s="439"/>
    </row>
    <row r="194" spans="1:17" ht="12" customHeight="1" thickBot="1" x14ac:dyDescent="0.3">
      <c r="A194" s="142"/>
      <c r="B194" s="143"/>
      <c r="C194" s="143"/>
      <c r="D194" s="143"/>
      <c r="E194" s="143"/>
      <c r="F194" s="143"/>
      <c r="G194" s="144"/>
      <c r="H194" s="144"/>
      <c r="I194" s="192"/>
      <c r="J194" s="372"/>
      <c r="K194" s="372"/>
      <c r="L194" s="373"/>
      <c r="M194" s="518"/>
      <c r="N194" s="374"/>
      <c r="O194" s="526" t="s">
        <v>257</v>
      </c>
      <c r="P194" s="375"/>
      <c r="Q194" s="362"/>
    </row>
    <row r="195" spans="1:17" ht="12" customHeight="1" x14ac:dyDescent="0.25">
      <c r="A195" s="142"/>
      <c r="B195" s="143"/>
      <c r="C195" s="143"/>
      <c r="D195" s="143"/>
      <c r="E195" s="143"/>
      <c r="F195" s="143"/>
      <c r="G195" s="144"/>
      <c r="H195" s="144"/>
      <c r="I195" s="192"/>
      <c r="J195" s="527">
        <v>2</v>
      </c>
      <c r="K195" s="528"/>
      <c r="L195" s="531"/>
      <c r="M195" s="502">
        <f t="shared" ref="M195:M209" si="24">SUM(J195,L195)</f>
        <v>2</v>
      </c>
      <c r="N195" s="462">
        <f>M195/$E$162</f>
        <v>9.8376783079193305E-4</v>
      </c>
      <c r="O195" s="550" t="s">
        <v>71</v>
      </c>
      <c r="P195" s="421">
        <v>388</v>
      </c>
      <c r="Q195" s="362"/>
    </row>
    <row r="196" spans="1:17" ht="12" customHeight="1" x14ac:dyDescent="0.25">
      <c r="A196" s="142"/>
      <c r="B196" s="143"/>
      <c r="C196" s="143"/>
      <c r="D196" s="143"/>
      <c r="E196" s="143"/>
      <c r="F196" s="143"/>
      <c r="G196" s="144"/>
      <c r="H196" s="144"/>
      <c r="I196" s="192"/>
      <c r="J196" s="370">
        <v>6</v>
      </c>
      <c r="K196" s="387"/>
      <c r="L196" s="393"/>
      <c r="M196" s="503">
        <f t="shared" si="24"/>
        <v>6</v>
      </c>
      <c r="N196" s="501">
        <f>M196/$E$162</f>
        <v>2.9513034923757992E-3</v>
      </c>
      <c r="O196" s="542" t="s">
        <v>174</v>
      </c>
      <c r="P196" s="422">
        <v>388</v>
      </c>
      <c r="Q196" s="362"/>
    </row>
    <row r="197" spans="1:17" ht="12" customHeight="1" x14ac:dyDescent="0.25">
      <c r="A197" s="142"/>
      <c r="B197" s="143"/>
      <c r="C197" s="143"/>
      <c r="D197" s="143"/>
      <c r="E197" s="143"/>
      <c r="F197" s="143"/>
      <c r="G197" s="144"/>
      <c r="H197" s="144"/>
      <c r="I197" s="192"/>
      <c r="J197" s="370">
        <v>3</v>
      </c>
      <c r="K197" s="387"/>
      <c r="L197" s="393"/>
      <c r="M197" s="503">
        <f t="shared" si="24"/>
        <v>3</v>
      </c>
      <c r="N197" s="501">
        <f t="shared" ref="N197:N208" si="25">M197/$E$162</f>
        <v>1.4756517461878996E-3</v>
      </c>
      <c r="O197" s="542" t="s">
        <v>117</v>
      </c>
      <c r="P197" s="422">
        <v>388</v>
      </c>
      <c r="Q197" s="362"/>
    </row>
    <row r="198" spans="1:17" ht="12" customHeight="1" x14ac:dyDescent="0.25">
      <c r="A198" s="142"/>
      <c r="B198" s="143"/>
      <c r="C198" s="143"/>
      <c r="D198" s="143"/>
      <c r="E198" s="143"/>
      <c r="F198" s="143"/>
      <c r="G198" s="144"/>
      <c r="H198" s="144"/>
      <c r="I198" s="192"/>
      <c r="J198" s="370"/>
      <c r="K198" s="387"/>
      <c r="L198" s="393"/>
      <c r="M198" s="503">
        <f t="shared" si="24"/>
        <v>0</v>
      </c>
      <c r="N198" s="501">
        <f t="shared" si="25"/>
        <v>0</v>
      </c>
      <c r="O198" s="542" t="s">
        <v>346</v>
      </c>
      <c r="P198" s="422">
        <v>43</v>
      </c>
      <c r="Q198" s="362"/>
    </row>
    <row r="199" spans="1:17" ht="12" customHeight="1" x14ac:dyDescent="0.25">
      <c r="A199" s="142"/>
      <c r="B199" s="143"/>
      <c r="C199" s="143"/>
      <c r="D199" s="143"/>
      <c r="E199" s="143"/>
      <c r="F199" s="143"/>
      <c r="G199" s="144"/>
      <c r="H199" s="144"/>
      <c r="I199" s="145"/>
      <c r="J199" s="370"/>
      <c r="K199" s="387"/>
      <c r="L199" s="393"/>
      <c r="M199" s="503">
        <f t="shared" si="24"/>
        <v>0</v>
      </c>
      <c r="N199" s="501">
        <f t="shared" si="25"/>
        <v>0</v>
      </c>
      <c r="O199" s="542" t="s">
        <v>177</v>
      </c>
      <c r="P199" s="422">
        <v>159</v>
      </c>
      <c r="Q199" s="362"/>
    </row>
    <row r="200" spans="1:17" ht="12" customHeight="1" x14ac:dyDescent="0.25">
      <c r="A200" s="142"/>
      <c r="B200" s="143"/>
      <c r="C200" s="143"/>
      <c r="D200" s="143"/>
      <c r="E200" s="143"/>
      <c r="F200" s="143"/>
      <c r="G200" s="144"/>
      <c r="H200" s="144"/>
      <c r="I200" s="145"/>
      <c r="J200" s="379">
        <v>22</v>
      </c>
      <c r="K200" s="387"/>
      <c r="L200" s="385"/>
      <c r="M200" s="503">
        <f t="shared" si="24"/>
        <v>22</v>
      </c>
      <c r="N200" s="501">
        <f t="shared" si="25"/>
        <v>1.0821446138711265E-2</v>
      </c>
      <c r="O200" s="541" t="s">
        <v>108</v>
      </c>
      <c r="P200" s="422">
        <v>117</v>
      </c>
      <c r="Q200" s="362"/>
    </row>
    <row r="201" spans="1:17" ht="12" customHeight="1" x14ac:dyDescent="0.25">
      <c r="A201" s="142"/>
      <c r="B201" s="143"/>
      <c r="C201" s="143"/>
      <c r="D201" s="143"/>
      <c r="E201" s="143"/>
      <c r="F201" s="143"/>
      <c r="G201" s="144"/>
      <c r="H201" s="144"/>
      <c r="I201" s="145"/>
      <c r="J201" s="379"/>
      <c r="K201" s="387"/>
      <c r="L201" s="385"/>
      <c r="M201" s="503">
        <f t="shared" si="24"/>
        <v>0</v>
      </c>
      <c r="N201" s="501">
        <f t="shared" si="25"/>
        <v>0</v>
      </c>
      <c r="O201" s="542" t="s">
        <v>118</v>
      </c>
      <c r="P201" s="422">
        <v>665</v>
      </c>
      <c r="Q201" s="362"/>
    </row>
    <row r="202" spans="1:17" ht="12" customHeight="1" x14ac:dyDescent="0.25">
      <c r="A202" s="142"/>
      <c r="B202" s="143"/>
      <c r="C202" s="143"/>
      <c r="D202" s="143"/>
      <c r="E202" s="143"/>
      <c r="F202" s="143"/>
      <c r="G202" s="144"/>
      <c r="H202" s="144"/>
      <c r="I202" s="145"/>
      <c r="J202" s="379">
        <v>2</v>
      </c>
      <c r="K202" s="387"/>
      <c r="L202" s="393"/>
      <c r="M202" s="503">
        <f t="shared" si="24"/>
        <v>2</v>
      </c>
      <c r="N202" s="501">
        <f t="shared" si="25"/>
        <v>9.8376783079193305E-4</v>
      </c>
      <c r="O202" s="542" t="s">
        <v>345</v>
      </c>
      <c r="P202" s="422">
        <v>65</v>
      </c>
      <c r="Q202" s="362"/>
    </row>
    <row r="203" spans="1:17" ht="12" customHeight="1" x14ac:dyDescent="0.25">
      <c r="A203" s="142"/>
      <c r="B203" s="143"/>
      <c r="C203" s="143"/>
      <c r="D203" s="143"/>
      <c r="E203" s="143"/>
      <c r="F203" s="143"/>
      <c r="G203" s="144"/>
      <c r="H203" s="144"/>
      <c r="I203" s="145"/>
      <c r="J203" s="379">
        <v>3</v>
      </c>
      <c r="K203" s="387"/>
      <c r="L203" s="393"/>
      <c r="M203" s="503">
        <f t="shared" si="24"/>
        <v>3</v>
      </c>
      <c r="N203" s="501">
        <f t="shared" si="25"/>
        <v>1.4756517461878996E-3</v>
      </c>
      <c r="O203" s="542" t="s">
        <v>353</v>
      </c>
      <c r="P203" s="422">
        <v>65</v>
      </c>
      <c r="Q203" s="362"/>
    </row>
    <row r="204" spans="1:17" ht="12" customHeight="1" x14ac:dyDescent="0.25">
      <c r="A204" s="142"/>
      <c r="B204" s="143"/>
      <c r="C204" s="143"/>
      <c r="D204" s="143"/>
      <c r="E204" s="143"/>
      <c r="F204" s="143"/>
      <c r="G204" s="144"/>
      <c r="H204" s="144"/>
      <c r="I204" s="145"/>
      <c r="J204" s="379"/>
      <c r="K204" s="387"/>
      <c r="L204" s="393"/>
      <c r="M204" s="503">
        <f t="shared" si="24"/>
        <v>0</v>
      </c>
      <c r="N204" s="501">
        <f t="shared" si="25"/>
        <v>0</v>
      </c>
      <c r="O204" s="542" t="s">
        <v>343</v>
      </c>
      <c r="P204" s="422">
        <v>164</v>
      </c>
      <c r="Q204" s="362"/>
    </row>
    <row r="205" spans="1:17" ht="12" customHeight="1" x14ac:dyDescent="0.25">
      <c r="A205" s="142"/>
      <c r="B205" s="143"/>
      <c r="C205" s="143"/>
      <c r="D205" s="143"/>
      <c r="E205" s="143"/>
      <c r="F205" s="143"/>
      <c r="G205" s="144"/>
      <c r="H205" s="144"/>
      <c r="I205" s="145"/>
      <c r="J205" s="379">
        <v>2</v>
      </c>
      <c r="K205" s="387"/>
      <c r="L205" s="393"/>
      <c r="M205" s="503">
        <f t="shared" si="24"/>
        <v>2</v>
      </c>
      <c r="N205" s="501">
        <f t="shared" si="25"/>
        <v>9.8376783079193305E-4</v>
      </c>
      <c r="O205" s="542" t="s">
        <v>355</v>
      </c>
      <c r="P205" s="422">
        <v>65</v>
      </c>
      <c r="Q205" s="362"/>
    </row>
    <row r="206" spans="1:17" ht="12" customHeight="1" x14ac:dyDescent="0.25">
      <c r="A206" s="142"/>
      <c r="B206" s="143"/>
      <c r="C206" s="143"/>
      <c r="D206" s="143"/>
      <c r="E206" s="143"/>
      <c r="F206" s="143"/>
      <c r="G206" s="144"/>
      <c r="H206" s="144"/>
      <c r="I206" s="145"/>
      <c r="J206" s="379">
        <v>1</v>
      </c>
      <c r="K206" s="387"/>
      <c r="L206" s="393"/>
      <c r="M206" s="503">
        <f t="shared" si="24"/>
        <v>1</v>
      </c>
      <c r="N206" s="501">
        <f t="shared" si="25"/>
        <v>4.9188391539596653E-4</v>
      </c>
      <c r="O206" s="542" t="s">
        <v>35</v>
      </c>
      <c r="P206" s="422">
        <v>65</v>
      </c>
      <c r="Q206" s="362"/>
    </row>
    <row r="207" spans="1:17" ht="12" customHeight="1" x14ac:dyDescent="0.25">
      <c r="A207" s="142"/>
      <c r="B207" s="143"/>
      <c r="C207" s="143"/>
      <c r="D207" s="143"/>
      <c r="E207" s="143"/>
      <c r="F207" s="143"/>
      <c r="G207" s="144"/>
      <c r="H207" s="144"/>
      <c r="I207" s="145"/>
      <c r="J207" s="370">
        <v>14</v>
      </c>
      <c r="K207" s="387"/>
      <c r="L207" s="393"/>
      <c r="M207" s="503">
        <f t="shared" si="24"/>
        <v>14</v>
      </c>
      <c r="N207" s="501">
        <f t="shared" si="25"/>
        <v>6.8863748155435318E-3</v>
      </c>
      <c r="O207" s="542" t="s">
        <v>341</v>
      </c>
      <c r="P207" s="422">
        <v>639</v>
      </c>
      <c r="Q207" s="362"/>
    </row>
    <row r="208" spans="1:17" ht="12" customHeight="1" x14ac:dyDescent="0.25">
      <c r="A208" s="142"/>
      <c r="B208" s="143"/>
      <c r="C208" s="143"/>
      <c r="D208" s="143"/>
      <c r="E208" s="143"/>
      <c r="F208" s="143"/>
      <c r="G208" s="144"/>
      <c r="H208" s="144"/>
      <c r="I208" s="145"/>
      <c r="J208" s="370"/>
      <c r="K208" s="387"/>
      <c r="L208" s="393"/>
      <c r="M208" s="503">
        <f t="shared" si="24"/>
        <v>0</v>
      </c>
      <c r="N208" s="501">
        <f t="shared" si="25"/>
        <v>0</v>
      </c>
      <c r="O208" s="542" t="s">
        <v>354</v>
      </c>
      <c r="P208" s="422">
        <v>639</v>
      </c>
      <c r="Q208" s="362"/>
    </row>
    <row r="209" spans="1:17" ht="12" customHeight="1" thickBot="1" x14ac:dyDescent="0.3">
      <c r="A209" s="150"/>
      <c r="B209" s="151"/>
      <c r="C209" s="151"/>
      <c r="D209" s="151"/>
      <c r="E209" s="151"/>
      <c r="F209" s="151"/>
      <c r="G209" s="152"/>
      <c r="H209" s="152"/>
      <c r="I209" s="153"/>
      <c r="J209" s="380"/>
      <c r="K209" s="388"/>
      <c r="L209" s="404"/>
      <c r="M209" s="506">
        <f t="shared" si="24"/>
        <v>0</v>
      </c>
      <c r="N209" s="402">
        <f>M209/$E$162</f>
        <v>0</v>
      </c>
      <c r="O209" s="551" t="s">
        <v>85</v>
      </c>
      <c r="P209" s="423">
        <v>43</v>
      </c>
      <c r="Q209" s="381"/>
    </row>
    <row r="210" spans="1:17" ht="12" customHeight="1" thickBot="1" x14ac:dyDescent="0.3">
      <c r="I210" s="154" t="s">
        <v>4</v>
      </c>
      <c r="J210" s="382">
        <f>SUM(J163:J209)</f>
        <v>136</v>
      </c>
      <c r="K210" s="382">
        <f>SUM(K163:K209)</f>
        <v>110</v>
      </c>
      <c r="L210" s="382">
        <f>SUM(L163:L183,L195:L209,L185:L193)</f>
        <v>9</v>
      </c>
      <c r="M210" s="403">
        <f>SUM(M163:M209)</f>
        <v>145</v>
      </c>
      <c r="N210" s="398">
        <f>M210/$E$162</f>
        <v>7.1323167732415149E-2</v>
      </c>
      <c r="O210" s="383"/>
      <c r="P210" s="383"/>
      <c r="Q210" s="384"/>
    </row>
    <row r="212" spans="1:17" ht="15.75" thickBot="1" x14ac:dyDescent="0.3"/>
    <row r="213" spans="1:17" ht="26.25" thickBot="1" x14ac:dyDescent="0.3">
      <c r="A213" s="434" t="s">
        <v>249</v>
      </c>
      <c r="B213" s="434" t="s">
        <v>47</v>
      </c>
      <c r="C213" s="434" t="s">
        <v>243</v>
      </c>
      <c r="D213" s="434" t="s">
        <v>242</v>
      </c>
      <c r="E213" s="434" t="s">
        <v>246</v>
      </c>
      <c r="F213" s="434" t="s">
        <v>16</v>
      </c>
      <c r="G213" s="76" t="s">
        <v>1</v>
      </c>
      <c r="H213" s="76" t="s">
        <v>86</v>
      </c>
      <c r="I213" s="435" t="s">
        <v>23</v>
      </c>
      <c r="J213" s="436" t="s">
        <v>266</v>
      </c>
      <c r="K213" s="437" t="s">
        <v>247</v>
      </c>
      <c r="L213" s="434" t="s">
        <v>248</v>
      </c>
      <c r="M213" s="434" t="s">
        <v>4</v>
      </c>
      <c r="N213" s="434" t="s">
        <v>2</v>
      </c>
      <c r="O213" s="434" t="s">
        <v>20</v>
      </c>
      <c r="P213" s="434" t="s">
        <v>69</v>
      </c>
      <c r="Q213" s="438" t="s">
        <v>6</v>
      </c>
    </row>
    <row r="214" spans="1:17" ht="12" customHeight="1" thickBot="1" x14ac:dyDescent="0.3">
      <c r="A214" s="406">
        <v>1516804</v>
      </c>
      <c r="B214" s="406" t="s">
        <v>244</v>
      </c>
      <c r="C214" s="406" t="s">
        <v>300</v>
      </c>
      <c r="D214" s="406">
        <v>1920</v>
      </c>
      <c r="E214" s="406">
        <v>1968</v>
      </c>
      <c r="F214" s="407">
        <v>1855</v>
      </c>
      <c r="G214" s="408">
        <f>F214/E214</f>
        <v>0.94258130081300817</v>
      </c>
      <c r="H214" s="408">
        <f>$K$52/E214</f>
        <v>7.2154471544715451E-2</v>
      </c>
      <c r="I214" s="409">
        <v>45348</v>
      </c>
      <c r="J214" s="410"/>
      <c r="K214" s="410"/>
      <c r="L214" s="411"/>
      <c r="M214" s="412"/>
      <c r="N214" s="413"/>
      <c r="O214" s="414" t="s">
        <v>250</v>
      </c>
      <c r="P214" s="414"/>
      <c r="Q214" s="358"/>
    </row>
    <row r="215" spans="1:17" ht="12" customHeight="1" x14ac:dyDescent="0.25">
      <c r="A215" s="139"/>
      <c r="B215" s="140"/>
      <c r="C215" s="140"/>
      <c r="D215" s="140"/>
      <c r="E215" s="140"/>
      <c r="F215" s="140"/>
      <c r="G215" s="141"/>
      <c r="H215" s="141"/>
      <c r="I215" s="190"/>
      <c r="J215" s="496">
        <v>4</v>
      </c>
      <c r="K215" s="359"/>
      <c r="L215" s="390"/>
      <c r="M215" s="446">
        <f t="shared" ref="M215:M235" si="26">SUM(J215,L215)</f>
        <v>4</v>
      </c>
      <c r="N215" s="415">
        <f>M215/$E$214</f>
        <v>2.0325203252032522E-3</v>
      </c>
      <c r="O215" s="417" t="s">
        <v>252</v>
      </c>
      <c r="P215" s="425">
        <v>211</v>
      </c>
      <c r="Q215" s="360" t="s">
        <v>187</v>
      </c>
    </row>
    <row r="216" spans="1:17" ht="12" customHeight="1" x14ac:dyDescent="0.25">
      <c r="A216" s="142"/>
      <c r="B216" s="143"/>
      <c r="C216" s="143"/>
      <c r="D216" s="143"/>
      <c r="E216" s="143"/>
      <c r="F216" s="143"/>
      <c r="G216" s="144"/>
      <c r="H216" s="144"/>
      <c r="I216" s="191"/>
      <c r="J216" s="497">
        <v>1</v>
      </c>
      <c r="K216" s="361"/>
      <c r="L216" s="391"/>
      <c r="M216" s="447">
        <f t="shared" si="26"/>
        <v>1</v>
      </c>
      <c r="N216" s="416">
        <f>M216/$E$214</f>
        <v>5.0813008130081306E-4</v>
      </c>
      <c r="O216" s="418" t="s">
        <v>87</v>
      </c>
      <c r="P216" s="426">
        <v>141</v>
      </c>
      <c r="Q216" s="362"/>
    </row>
    <row r="217" spans="1:17" ht="12" customHeight="1" x14ac:dyDescent="0.25">
      <c r="A217" s="142"/>
      <c r="B217" s="143"/>
      <c r="C217" s="143"/>
      <c r="D217" s="143"/>
      <c r="E217" s="143"/>
      <c r="F217" s="143"/>
      <c r="G217" s="144"/>
      <c r="H217" s="144"/>
      <c r="I217" s="191"/>
      <c r="J217" s="497"/>
      <c r="K217" s="363"/>
      <c r="L217" s="392"/>
      <c r="M217" s="447">
        <f t="shared" si="26"/>
        <v>0</v>
      </c>
      <c r="N217" s="416">
        <f t="shared" ref="N217:N234" si="27">M217/$E$214</f>
        <v>0</v>
      </c>
      <c r="O217" s="419" t="s">
        <v>7</v>
      </c>
      <c r="P217" s="427">
        <v>140</v>
      </c>
      <c r="Q217" s="362"/>
    </row>
    <row r="218" spans="1:17" ht="12" customHeight="1" x14ac:dyDescent="0.25">
      <c r="A218" s="142"/>
      <c r="B218" s="143"/>
      <c r="C218" s="143"/>
      <c r="D218" s="143"/>
      <c r="E218" s="143"/>
      <c r="F218" s="143"/>
      <c r="G218" s="144"/>
      <c r="H218" s="144"/>
      <c r="I218" s="191"/>
      <c r="J218" s="497"/>
      <c r="K218" s="361"/>
      <c r="L218" s="392"/>
      <c r="M218" s="447">
        <f t="shared" si="26"/>
        <v>0</v>
      </c>
      <c r="N218" s="416">
        <f t="shared" si="27"/>
        <v>0</v>
      </c>
      <c r="O218" s="419" t="s">
        <v>8</v>
      </c>
      <c r="P218" s="427">
        <v>210</v>
      </c>
      <c r="Q218" s="362"/>
    </row>
    <row r="219" spans="1:17" ht="12" customHeight="1" x14ac:dyDescent="0.25">
      <c r="A219" s="142"/>
      <c r="B219" s="143"/>
      <c r="C219" s="143"/>
      <c r="D219" s="143"/>
      <c r="E219" s="143"/>
      <c r="F219" s="143"/>
      <c r="G219" s="144"/>
      <c r="H219" s="144"/>
      <c r="I219" s="191"/>
      <c r="J219" s="497">
        <v>19</v>
      </c>
      <c r="K219" s="363"/>
      <c r="L219" s="392">
        <v>6</v>
      </c>
      <c r="M219" s="447">
        <f t="shared" si="26"/>
        <v>25</v>
      </c>
      <c r="N219" s="416">
        <f t="shared" si="27"/>
        <v>1.2703252032520325E-2</v>
      </c>
      <c r="O219" s="418" t="s">
        <v>15</v>
      </c>
      <c r="P219" s="426">
        <v>355</v>
      </c>
      <c r="Q219" s="362"/>
    </row>
    <row r="220" spans="1:17" ht="12" customHeight="1" x14ac:dyDescent="0.25">
      <c r="A220" s="142"/>
      <c r="B220" s="143"/>
      <c r="C220" s="143"/>
      <c r="D220" s="143"/>
      <c r="E220" s="143"/>
      <c r="F220" s="143"/>
      <c r="G220" s="144"/>
      <c r="H220" s="144"/>
      <c r="I220" s="191"/>
      <c r="J220" s="497"/>
      <c r="K220" s="363"/>
      <c r="L220" s="392"/>
      <c r="M220" s="447">
        <f t="shared" si="26"/>
        <v>0</v>
      </c>
      <c r="N220" s="416">
        <f t="shared" si="27"/>
        <v>0</v>
      </c>
      <c r="O220" s="418" t="s">
        <v>88</v>
      </c>
      <c r="P220" s="426">
        <v>178</v>
      </c>
      <c r="Q220" s="362"/>
    </row>
    <row r="221" spans="1:17" ht="12" customHeight="1" x14ac:dyDescent="0.25">
      <c r="A221" s="142"/>
      <c r="B221" s="143"/>
      <c r="C221" s="143"/>
      <c r="D221" s="143"/>
      <c r="E221" s="143"/>
      <c r="F221" s="143"/>
      <c r="G221" s="144"/>
      <c r="H221" s="144"/>
      <c r="I221" s="191"/>
      <c r="J221" s="497">
        <v>2</v>
      </c>
      <c r="K221" s="361"/>
      <c r="L221" s="392">
        <v>2</v>
      </c>
      <c r="M221" s="447">
        <f t="shared" si="26"/>
        <v>4</v>
      </c>
      <c r="N221" s="416">
        <f t="shared" si="27"/>
        <v>2.0325203252032522E-3</v>
      </c>
      <c r="O221" s="418" t="s">
        <v>34</v>
      </c>
      <c r="P221" s="426">
        <v>176</v>
      </c>
      <c r="Q221" s="362"/>
    </row>
    <row r="222" spans="1:17" ht="12" customHeight="1" x14ac:dyDescent="0.25">
      <c r="A222" s="142"/>
      <c r="B222" s="143"/>
      <c r="C222" s="143"/>
      <c r="D222" s="143"/>
      <c r="E222" s="143"/>
      <c r="F222" s="143"/>
      <c r="G222" s="144"/>
      <c r="H222" s="144"/>
      <c r="I222" s="191"/>
      <c r="J222" s="497">
        <v>4</v>
      </c>
      <c r="K222" s="363"/>
      <c r="L222" s="392"/>
      <c r="M222" s="447">
        <f t="shared" si="26"/>
        <v>4</v>
      </c>
      <c r="N222" s="416">
        <f t="shared" si="27"/>
        <v>2.0325203252032522E-3</v>
      </c>
      <c r="O222" s="418" t="s">
        <v>3</v>
      </c>
      <c r="P222" s="426">
        <v>44</v>
      </c>
      <c r="Q222" s="362"/>
    </row>
    <row r="223" spans="1:17" ht="12" customHeight="1" x14ac:dyDescent="0.25">
      <c r="A223" s="142"/>
      <c r="B223" s="143"/>
      <c r="C223" s="143"/>
      <c r="D223" s="143"/>
      <c r="E223" s="143"/>
      <c r="F223" s="143"/>
      <c r="G223" s="144"/>
      <c r="H223" s="144"/>
      <c r="I223" s="191"/>
      <c r="J223" s="497"/>
      <c r="K223" s="363"/>
      <c r="L223" s="392"/>
      <c r="M223" s="447">
        <f t="shared" si="26"/>
        <v>0</v>
      </c>
      <c r="N223" s="416">
        <f t="shared" si="27"/>
        <v>0</v>
      </c>
      <c r="O223" s="418" t="s">
        <v>19</v>
      </c>
      <c r="P223" s="426">
        <v>119</v>
      </c>
      <c r="Q223" s="362"/>
    </row>
    <row r="224" spans="1:17" ht="12" customHeight="1" x14ac:dyDescent="0.25">
      <c r="A224" s="142"/>
      <c r="B224" s="143"/>
      <c r="C224" s="143"/>
      <c r="D224" s="143"/>
      <c r="E224" s="143"/>
      <c r="F224" s="143"/>
      <c r="G224" s="144"/>
      <c r="H224" s="144"/>
      <c r="I224" s="191"/>
      <c r="J224" s="497">
        <v>3</v>
      </c>
      <c r="K224" s="364"/>
      <c r="L224" s="393"/>
      <c r="M224" s="447">
        <f t="shared" si="26"/>
        <v>3</v>
      </c>
      <c r="N224" s="416">
        <f t="shared" si="27"/>
        <v>1.5243902439024391E-3</v>
      </c>
      <c r="O224" s="418" t="s">
        <v>351</v>
      </c>
      <c r="P224" s="426">
        <v>65</v>
      </c>
      <c r="Q224" s="362"/>
    </row>
    <row r="225" spans="1:17" ht="12" customHeight="1" x14ac:dyDescent="0.25">
      <c r="A225" s="142"/>
      <c r="B225" s="143"/>
      <c r="C225" s="143"/>
      <c r="D225" s="143"/>
      <c r="E225" s="143"/>
      <c r="F225" s="143"/>
      <c r="G225" s="144"/>
      <c r="H225" s="144"/>
      <c r="I225" s="191"/>
      <c r="J225" s="497"/>
      <c r="K225" s="361"/>
      <c r="L225" s="392"/>
      <c r="M225" s="447">
        <f t="shared" si="26"/>
        <v>0</v>
      </c>
      <c r="N225" s="416">
        <f t="shared" si="27"/>
        <v>0</v>
      </c>
      <c r="O225" s="541" t="s">
        <v>108</v>
      </c>
      <c r="P225" s="426">
        <v>117</v>
      </c>
      <c r="Q225" s="362"/>
    </row>
    <row r="226" spans="1:17" ht="12" customHeight="1" x14ac:dyDescent="0.25">
      <c r="A226" s="142"/>
      <c r="B226" s="143"/>
      <c r="C226" s="143"/>
      <c r="D226" s="143"/>
      <c r="E226" s="143"/>
      <c r="F226" s="143"/>
      <c r="G226" s="144"/>
      <c r="H226" s="144"/>
      <c r="I226" s="191"/>
      <c r="J226" s="497"/>
      <c r="K226" s="361"/>
      <c r="L226" s="392"/>
      <c r="M226" s="447">
        <f t="shared" si="26"/>
        <v>0</v>
      </c>
      <c r="N226" s="416">
        <f t="shared" si="27"/>
        <v>0</v>
      </c>
      <c r="O226" s="418" t="s">
        <v>255</v>
      </c>
      <c r="P226" s="426">
        <v>704</v>
      </c>
      <c r="Q226" s="362"/>
    </row>
    <row r="227" spans="1:17" ht="12" customHeight="1" x14ac:dyDescent="0.25">
      <c r="A227" s="142"/>
      <c r="B227" s="143"/>
      <c r="C227" s="143"/>
      <c r="D227" s="143"/>
      <c r="E227" s="143"/>
      <c r="F227" s="143"/>
      <c r="G227" s="144"/>
      <c r="H227" s="144"/>
      <c r="I227" s="191"/>
      <c r="J227" s="497"/>
      <c r="K227" s="361"/>
      <c r="L227" s="392"/>
      <c r="M227" s="447">
        <f t="shared" si="26"/>
        <v>0</v>
      </c>
      <c r="N227" s="416">
        <f t="shared" si="27"/>
        <v>0</v>
      </c>
      <c r="O227" s="418" t="s">
        <v>256</v>
      </c>
      <c r="P227" s="426">
        <v>705</v>
      </c>
      <c r="Q227" s="362"/>
    </row>
    <row r="228" spans="1:17" ht="12" customHeight="1" x14ac:dyDescent="0.25">
      <c r="A228" s="142"/>
      <c r="B228" s="143"/>
      <c r="C228" s="143"/>
      <c r="D228" s="143"/>
      <c r="E228" s="143"/>
      <c r="F228" s="143"/>
      <c r="G228" s="144"/>
      <c r="H228" s="144"/>
      <c r="I228" s="191"/>
      <c r="J228" s="497">
        <v>4</v>
      </c>
      <c r="K228" s="361"/>
      <c r="L228" s="392"/>
      <c r="M228" s="447">
        <f t="shared" si="26"/>
        <v>4</v>
      </c>
      <c r="N228" s="416">
        <f t="shared" si="27"/>
        <v>2.0325203252032522E-3</v>
      </c>
      <c r="O228" s="418" t="s">
        <v>27</v>
      </c>
      <c r="P228" s="426">
        <v>58</v>
      </c>
      <c r="Q228" s="362"/>
    </row>
    <row r="229" spans="1:17" ht="12" customHeight="1" x14ac:dyDescent="0.25">
      <c r="A229" s="142"/>
      <c r="B229" s="143"/>
      <c r="C229" s="143"/>
      <c r="D229" s="143"/>
      <c r="E229" s="143"/>
      <c r="F229" s="143"/>
      <c r="G229" s="144"/>
      <c r="H229" s="144"/>
      <c r="I229" s="191"/>
      <c r="J229" s="497"/>
      <c r="K229" s="361"/>
      <c r="L229" s="392"/>
      <c r="M229" s="447">
        <f t="shared" si="26"/>
        <v>0</v>
      </c>
      <c r="N229" s="416">
        <f t="shared" si="27"/>
        <v>0</v>
      </c>
      <c r="O229" s="418" t="s">
        <v>200</v>
      </c>
      <c r="P229" s="426">
        <v>70</v>
      </c>
      <c r="Q229" s="362"/>
    </row>
    <row r="230" spans="1:17" ht="12" customHeight="1" x14ac:dyDescent="0.25">
      <c r="A230" s="142"/>
      <c r="B230" s="143"/>
      <c r="C230" s="143"/>
      <c r="D230" s="143"/>
      <c r="E230" s="143"/>
      <c r="F230" s="143"/>
      <c r="G230" s="144"/>
      <c r="H230" s="144"/>
      <c r="I230" s="191"/>
      <c r="J230" s="497">
        <v>1</v>
      </c>
      <c r="K230" s="378"/>
      <c r="L230" s="394"/>
      <c r="M230" s="447">
        <f t="shared" si="26"/>
        <v>1</v>
      </c>
      <c r="N230" s="416">
        <f t="shared" si="27"/>
        <v>5.0813008130081306E-4</v>
      </c>
      <c r="O230" s="418" t="s">
        <v>356</v>
      </c>
      <c r="P230" s="426">
        <v>265</v>
      </c>
      <c r="Q230" s="362"/>
    </row>
    <row r="231" spans="1:17" ht="12" customHeight="1" x14ac:dyDescent="0.25">
      <c r="A231" s="142"/>
      <c r="B231" s="143"/>
      <c r="C231" s="143"/>
      <c r="D231" s="143" t="s">
        <v>100</v>
      </c>
      <c r="E231" s="143"/>
      <c r="F231" s="143"/>
      <c r="G231" s="144"/>
      <c r="H231" s="144"/>
      <c r="I231" s="191"/>
      <c r="J231" s="497"/>
      <c r="K231" s="361"/>
      <c r="L231" s="392"/>
      <c r="M231" s="447">
        <f t="shared" si="26"/>
        <v>0</v>
      </c>
      <c r="N231" s="416">
        <f t="shared" si="27"/>
        <v>0</v>
      </c>
      <c r="O231" s="418" t="s">
        <v>71</v>
      </c>
      <c r="P231" s="426">
        <v>388</v>
      </c>
      <c r="Q231" s="362"/>
    </row>
    <row r="232" spans="1:17" ht="12" customHeight="1" x14ac:dyDescent="0.25">
      <c r="A232" s="142"/>
      <c r="B232" s="143"/>
      <c r="C232" s="143"/>
      <c r="D232" s="143"/>
      <c r="E232" s="143"/>
      <c r="F232" s="143"/>
      <c r="G232" s="144"/>
      <c r="H232" s="144"/>
      <c r="I232" s="191"/>
      <c r="J232" s="497"/>
      <c r="K232" s="361"/>
      <c r="L232" s="392"/>
      <c r="M232" s="447">
        <f t="shared" si="26"/>
        <v>0</v>
      </c>
      <c r="N232" s="416">
        <f t="shared" si="27"/>
        <v>0</v>
      </c>
      <c r="O232" s="418" t="s">
        <v>163</v>
      </c>
      <c r="P232" s="426">
        <v>679</v>
      </c>
      <c r="Q232" s="362"/>
    </row>
    <row r="233" spans="1:17" ht="12" customHeight="1" x14ac:dyDescent="0.25">
      <c r="A233" s="142"/>
      <c r="B233" s="143"/>
      <c r="C233" s="143"/>
      <c r="D233" s="143"/>
      <c r="E233" s="143"/>
      <c r="F233" s="143"/>
      <c r="G233" s="144"/>
      <c r="H233" s="144"/>
      <c r="I233" s="191"/>
      <c r="J233" s="487"/>
      <c r="K233" s="361"/>
      <c r="L233" s="392"/>
      <c r="M233" s="447">
        <f t="shared" si="26"/>
        <v>0</v>
      </c>
      <c r="N233" s="416">
        <f t="shared" si="27"/>
        <v>0</v>
      </c>
      <c r="O233" s="418" t="s">
        <v>85</v>
      </c>
      <c r="P233" s="426">
        <v>43</v>
      </c>
      <c r="Q233" s="362"/>
    </row>
    <row r="234" spans="1:17" ht="12" customHeight="1" x14ac:dyDescent="0.25">
      <c r="A234" s="142"/>
      <c r="B234" s="143"/>
      <c r="C234" s="143"/>
      <c r="D234" s="143"/>
      <c r="E234" s="143"/>
      <c r="F234" s="143"/>
      <c r="G234" s="144"/>
      <c r="H234" s="144"/>
      <c r="I234" s="191"/>
      <c r="J234" s="487">
        <v>3</v>
      </c>
      <c r="K234" s="361"/>
      <c r="L234" s="392"/>
      <c r="M234" s="447">
        <f t="shared" si="26"/>
        <v>3</v>
      </c>
      <c r="N234" s="416">
        <f t="shared" si="27"/>
        <v>1.5243902439024391E-3</v>
      </c>
      <c r="O234" s="542" t="s">
        <v>80</v>
      </c>
      <c r="P234" s="422">
        <v>46</v>
      </c>
      <c r="Q234" s="362"/>
    </row>
    <row r="235" spans="1:17" ht="12" customHeight="1" thickBot="1" x14ac:dyDescent="0.3">
      <c r="A235" s="142"/>
      <c r="B235" s="143"/>
      <c r="C235" s="143"/>
      <c r="D235" s="143"/>
      <c r="E235" s="143"/>
      <c r="F235" s="143"/>
      <c r="G235" s="144"/>
      <c r="H235" s="144"/>
      <c r="I235" s="191"/>
      <c r="J235" s="495"/>
      <c r="K235" s="363"/>
      <c r="L235" s="392"/>
      <c r="M235" s="447">
        <f t="shared" si="26"/>
        <v>0</v>
      </c>
      <c r="N235" s="453">
        <f>M235/$E$214</f>
        <v>0</v>
      </c>
      <c r="O235" s="420" t="s">
        <v>277</v>
      </c>
      <c r="P235" s="428">
        <v>65</v>
      </c>
      <c r="Q235" s="362"/>
    </row>
    <row r="236" spans="1:17" ht="12" customHeight="1" thickBot="1" x14ac:dyDescent="0.3">
      <c r="A236" s="142"/>
      <c r="B236" s="143"/>
      <c r="C236" s="143"/>
      <c r="D236" s="143"/>
      <c r="E236" s="143"/>
      <c r="F236" s="143"/>
      <c r="G236" s="144"/>
      <c r="H236" s="144"/>
      <c r="I236" s="192"/>
      <c r="J236" s="367"/>
      <c r="K236" s="367"/>
      <c r="L236" s="368"/>
      <c r="M236" s="369"/>
      <c r="N236" s="369"/>
      <c r="O236" s="424" t="s">
        <v>251</v>
      </c>
      <c r="P236" s="375"/>
      <c r="Q236" s="362"/>
    </row>
    <row r="237" spans="1:17" ht="12" customHeight="1" x14ac:dyDescent="0.25">
      <c r="A237" s="142"/>
      <c r="B237" s="143"/>
      <c r="C237" s="143"/>
      <c r="D237" s="143"/>
      <c r="E237" s="143"/>
      <c r="F237" s="143"/>
      <c r="G237" s="144"/>
      <c r="H237" s="144"/>
      <c r="I237" s="191"/>
      <c r="J237" s="482">
        <v>1</v>
      </c>
      <c r="K237" s="486">
        <v>13</v>
      </c>
      <c r="L237" s="461"/>
      <c r="M237" s="498">
        <f>SUM(J237,L237)</f>
        <v>1</v>
      </c>
      <c r="N237" s="462">
        <f>M237/$E$214</f>
        <v>5.0813008130081306E-4</v>
      </c>
      <c r="O237" s="554" t="s">
        <v>91</v>
      </c>
      <c r="P237" s="443">
        <v>159</v>
      </c>
      <c r="Q237" s="439"/>
    </row>
    <row r="238" spans="1:17" ht="12" customHeight="1" x14ac:dyDescent="0.25">
      <c r="A238" s="142"/>
      <c r="B238" s="143"/>
      <c r="C238" s="143"/>
      <c r="D238" s="143"/>
      <c r="E238" s="143"/>
      <c r="F238" s="143"/>
      <c r="G238" s="144"/>
      <c r="H238" s="144"/>
      <c r="I238" s="191"/>
      <c r="J238" s="483">
        <v>2</v>
      </c>
      <c r="K238" s="487">
        <v>5</v>
      </c>
      <c r="L238" s="389"/>
      <c r="M238" s="447">
        <f>SUM(J238,L238)</f>
        <v>2</v>
      </c>
      <c r="N238" s="401">
        <f>M238/$E$214</f>
        <v>1.0162601626016261E-3</v>
      </c>
      <c r="O238" s="555" t="s">
        <v>9</v>
      </c>
      <c r="P238" s="444">
        <v>331</v>
      </c>
      <c r="Q238" s="439"/>
    </row>
    <row r="239" spans="1:17" ht="12" customHeight="1" x14ac:dyDescent="0.25">
      <c r="A239" s="142"/>
      <c r="B239" s="143"/>
      <c r="C239" s="143"/>
      <c r="D239" s="143"/>
      <c r="E239" s="143"/>
      <c r="F239" s="143"/>
      <c r="G239" s="144"/>
      <c r="H239" s="144"/>
      <c r="I239" s="191"/>
      <c r="J239" s="484"/>
      <c r="K239" s="488">
        <v>6</v>
      </c>
      <c r="L239" s="389"/>
      <c r="M239" s="447">
        <f t="shared" ref="M239:M244" si="28">SUM(J239,L239)</f>
        <v>0</v>
      </c>
      <c r="N239" s="401">
        <f t="shared" ref="N239:N244" si="29">M239/$E$214</f>
        <v>0</v>
      </c>
      <c r="O239" s="542" t="s">
        <v>94</v>
      </c>
      <c r="P239" s="422">
        <v>265</v>
      </c>
      <c r="Q239" s="439"/>
    </row>
    <row r="240" spans="1:17" ht="12" customHeight="1" x14ac:dyDescent="0.25">
      <c r="A240" s="142"/>
      <c r="B240" s="143"/>
      <c r="C240" s="143"/>
      <c r="D240" s="143"/>
      <c r="E240" s="143"/>
      <c r="F240" s="143"/>
      <c r="G240" s="144"/>
      <c r="H240" s="144"/>
      <c r="I240" s="191"/>
      <c r="J240" s="483">
        <v>2</v>
      </c>
      <c r="K240" s="487">
        <v>11</v>
      </c>
      <c r="L240" s="389"/>
      <c r="M240" s="447">
        <f t="shared" si="28"/>
        <v>2</v>
      </c>
      <c r="N240" s="401">
        <f t="shared" si="29"/>
        <v>1.0162601626016261E-3</v>
      </c>
      <c r="O240" s="555" t="s">
        <v>92</v>
      </c>
      <c r="P240" s="444">
        <v>159</v>
      </c>
      <c r="Q240" s="460" t="s">
        <v>361</v>
      </c>
    </row>
    <row r="241" spans="1:17" ht="12" customHeight="1" x14ac:dyDescent="0.25">
      <c r="A241" s="142"/>
      <c r="B241" s="143"/>
      <c r="C241" s="143"/>
      <c r="D241" s="143"/>
      <c r="E241" s="143"/>
      <c r="F241" s="143"/>
      <c r="G241" s="144"/>
      <c r="H241" s="144"/>
      <c r="I241" s="191"/>
      <c r="J241" s="483">
        <v>1</v>
      </c>
      <c r="K241" s="487">
        <v>36</v>
      </c>
      <c r="L241" s="389"/>
      <c r="M241" s="447">
        <f t="shared" si="28"/>
        <v>1</v>
      </c>
      <c r="N241" s="401">
        <f t="shared" si="29"/>
        <v>5.0813008130081306E-4</v>
      </c>
      <c r="O241" s="542" t="s">
        <v>80</v>
      </c>
      <c r="P241" s="422">
        <v>46</v>
      </c>
      <c r="Q241" s="439"/>
    </row>
    <row r="242" spans="1:17" ht="12" customHeight="1" x14ac:dyDescent="0.25">
      <c r="A242" s="142"/>
      <c r="B242" s="143"/>
      <c r="C242" s="143"/>
      <c r="D242" s="143"/>
      <c r="E242" s="143"/>
      <c r="F242" s="143"/>
      <c r="G242" s="144"/>
      <c r="H242" s="144"/>
      <c r="I242" s="191"/>
      <c r="J242" s="484"/>
      <c r="K242" s="488">
        <v>6</v>
      </c>
      <c r="L242" s="389"/>
      <c r="M242" s="447">
        <f t="shared" si="28"/>
        <v>0</v>
      </c>
      <c r="N242" s="401">
        <f t="shared" si="29"/>
        <v>0</v>
      </c>
      <c r="O242" s="555" t="s">
        <v>93</v>
      </c>
      <c r="P242" s="444">
        <v>159</v>
      </c>
      <c r="Q242" s="460" t="s">
        <v>358</v>
      </c>
    </row>
    <row r="243" spans="1:17" ht="12" customHeight="1" x14ac:dyDescent="0.25">
      <c r="A243" s="142"/>
      <c r="B243" s="143"/>
      <c r="C243" s="143"/>
      <c r="D243" s="143"/>
      <c r="E243" s="143"/>
      <c r="F243" s="143"/>
      <c r="G243" s="144"/>
      <c r="H243" s="144"/>
      <c r="I243" s="191"/>
      <c r="J243" s="483">
        <v>4</v>
      </c>
      <c r="K243" s="487">
        <v>2</v>
      </c>
      <c r="L243" s="389"/>
      <c r="M243" s="447">
        <f t="shared" si="28"/>
        <v>4</v>
      </c>
      <c r="N243" s="401">
        <f t="shared" si="29"/>
        <v>2.0325203252032522E-3</v>
      </c>
      <c r="O243" s="555" t="s">
        <v>90</v>
      </c>
      <c r="P243" s="444">
        <v>159</v>
      </c>
      <c r="Q243" s="439"/>
    </row>
    <row r="244" spans="1:17" ht="12" customHeight="1" x14ac:dyDescent="0.25">
      <c r="A244" s="142"/>
      <c r="B244" s="143"/>
      <c r="C244" s="143"/>
      <c r="D244" s="143"/>
      <c r="E244" s="143"/>
      <c r="F244" s="143"/>
      <c r="G244" s="144"/>
      <c r="H244" s="144"/>
      <c r="I244" s="191"/>
      <c r="J244" s="483"/>
      <c r="K244" s="488">
        <v>26</v>
      </c>
      <c r="L244" s="463">
        <v>6</v>
      </c>
      <c r="M244" s="447">
        <f t="shared" si="28"/>
        <v>6</v>
      </c>
      <c r="N244" s="401">
        <f t="shared" si="29"/>
        <v>3.0487804878048782E-3</v>
      </c>
      <c r="O244" s="556" t="s">
        <v>109</v>
      </c>
      <c r="P244" s="426">
        <v>159</v>
      </c>
      <c r="Q244" s="439"/>
    </row>
    <row r="245" spans="1:17" ht="12" customHeight="1" thickBot="1" x14ac:dyDescent="0.3">
      <c r="A245" s="142"/>
      <c r="B245" s="143"/>
      <c r="C245" s="143"/>
      <c r="D245" s="143"/>
      <c r="E245" s="143"/>
      <c r="F245" s="143"/>
      <c r="G245" s="144"/>
      <c r="H245" s="144"/>
      <c r="I245" s="191"/>
      <c r="J245" s="485"/>
      <c r="K245" s="489"/>
      <c r="L245" s="400"/>
      <c r="M245" s="504">
        <f>SUM(J245,L245)</f>
        <v>0</v>
      </c>
      <c r="N245" s="402">
        <f>M245/$E$214</f>
        <v>0</v>
      </c>
      <c r="O245" s="553" t="s">
        <v>181</v>
      </c>
      <c r="P245" s="459">
        <v>159</v>
      </c>
      <c r="Q245" s="439"/>
    </row>
    <row r="246" spans="1:17" ht="12" customHeight="1" thickBot="1" x14ac:dyDescent="0.3">
      <c r="A246" s="142"/>
      <c r="B246" s="143"/>
      <c r="C246" s="143"/>
      <c r="D246" s="143"/>
      <c r="E246" s="143"/>
      <c r="F246" s="143"/>
      <c r="G246" s="144"/>
      <c r="H246" s="144"/>
      <c r="I246" s="192"/>
      <c r="J246" s="372"/>
      <c r="K246" s="372"/>
      <c r="L246" s="373"/>
      <c r="M246" s="518"/>
      <c r="N246" s="374"/>
      <c r="O246" s="526" t="s">
        <v>257</v>
      </c>
      <c r="P246" s="375"/>
      <c r="Q246" s="362"/>
    </row>
    <row r="247" spans="1:17" ht="12" customHeight="1" x14ac:dyDescent="0.25">
      <c r="A247" s="142"/>
      <c r="B247" s="143"/>
      <c r="C247" s="143"/>
      <c r="D247" s="143"/>
      <c r="E247" s="143"/>
      <c r="F247" s="143"/>
      <c r="G247" s="144"/>
      <c r="H247" s="144"/>
      <c r="I247" s="192"/>
      <c r="J247" s="527">
        <v>7</v>
      </c>
      <c r="K247" s="528"/>
      <c r="L247" s="529"/>
      <c r="M247" s="502">
        <f t="shared" ref="M247:M263" si="30">SUM(J247,L247)</f>
        <v>7</v>
      </c>
      <c r="N247" s="462">
        <f>M247/$E$214</f>
        <v>3.5569105691056909E-3</v>
      </c>
      <c r="O247" s="550" t="s">
        <v>71</v>
      </c>
      <c r="P247" s="421">
        <v>388</v>
      </c>
      <c r="Q247" s="362"/>
    </row>
    <row r="248" spans="1:17" ht="12" customHeight="1" x14ac:dyDescent="0.25">
      <c r="A248" s="142"/>
      <c r="B248" s="143"/>
      <c r="C248" s="143"/>
      <c r="D248" s="143"/>
      <c r="E248" s="143"/>
      <c r="F248" s="143"/>
      <c r="G248" s="144"/>
      <c r="H248" s="144"/>
      <c r="I248" s="192"/>
      <c r="J248" s="370">
        <v>1</v>
      </c>
      <c r="K248" s="387"/>
      <c r="L248" s="516"/>
      <c r="M248" s="503">
        <f t="shared" si="30"/>
        <v>1</v>
      </c>
      <c r="N248" s="501">
        <f>M248/$E$214</f>
        <v>5.0813008130081306E-4</v>
      </c>
      <c r="O248" s="542" t="s">
        <v>174</v>
      </c>
      <c r="P248" s="422">
        <v>388</v>
      </c>
      <c r="Q248" s="362"/>
    </row>
    <row r="249" spans="1:17" ht="12" customHeight="1" x14ac:dyDescent="0.25">
      <c r="A249" s="142"/>
      <c r="B249" s="143"/>
      <c r="C249" s="143"/>
      <c r="D249" s="143"/>
      <c r="E249" s="143"/>
      <c r="F249" s="143"/>
      <c r="G249" s="144"/>
      <c r="H249" s="144"/>
      <c r="I249" s="192"/>
      <c r="J249" s="370">
        <v>2</v>
      </c>
      <c r="K249" s="387"/>
      <c r="L249" s="516"/>
      <c r="M249" s="503">
        <f t="shared" si="30"/>
        <v>2</v>
      </c>
      <c r="N249" s="501">
        <f t="shared" ref="N249:N262" si="31">M249/$E$214</f>
        <v>1.0162601626016261E-3</v>
      </c>
      <c r="O249" s="542" t="s">
        <v>117</v>
      </c>
      <c r="P249" s="422">
        <v>388</v>
      </c>
      <c r="Q249" s="362"/>
    </row>
    <row r="250" spans="1:17" ht="12" customHeight="1" x14ac:dyDescent="0.25">
      <c r="A250" s="142"/>
      <c r="B250" s="143"/>
      <c r="C250" s="143"/>
      <c r="D250" s="143"/>
      <c r="E250" s="143"/>
      <c r="F250" s="143"/>
      <c r="G250" s="144"/>
      <c r="H250" s="144"/>
      <c r="I250" s="192"/>
      <c r="J250" s="370"/>
      <c r="K250" s="387"/>
      <c r="L250" s="516"/>
      <c r="M250" s="503">
        <f t="shared" si="30"/>
        <v>0</v>
      </c>
      <c r="N250" s="501">
        <f t="shared" si="31"/>
        <v>0</v>
      </c>
      <c r="O250" s="542" t="s">
        <v>346</v>
      </c>
      <c r="P250" s="422">
        <v>43</v>
      </c>
      <c r="Q250" s="362"/>
    </row>
    <row r="251" spans="1:17" ht="12" customHeight="1" x14ac:dyDescent="0.25">
      <c r="A251" s="142"/>
      <c r="B251" s="143"/>
      <c r="C251" s="143"/>
      <c r="D251" s="143"/>
      <c r="E251" s="143"/>
      <c r="F251" s="143"/>
      <c r="G251" s="144"/>
      <c r="H251" s="144"/>
      <c r="I251" s="145"/>
      <c r="J251" s="370"/>
      <c r="K251" s="387"/>
      <c r="L251" s="516"/>
      <c r="M251" s="503">
        <f t="shared" si="30"/>
        <v>0</v>
      </c>
      <c r="N251" s="501">
        <f t="shared" si="31"/>
        <v>0</v>
      </c>
      <c r="O251" s="542" t="s">
        <v>177</v>
      </c>
      <c r="P251" s="422">
        <v>159</v>
      </c>
      <c r="Q251" s="362"/>
    </row>
    <row r="252" spans="1:17" ht="12" customHeight="1" x14ac:dyDescent="0.25">
      <c r="A252" s="142"/>
      <c r="B252" s="143"/>
      <c r="C252" s="143"/>
      <c r="D252" s="143"/>
      <c r="E252" s="143"/>
      <c r="F252" s="143"/>
      <c r="G252" s="144"/>
      <c r="H252" s="144"/>
      <c r="I252" s="145"/>
      <c r="J252" s="379">
        <v>1</v>
      </c>
      <c r="K252" s="387"/>
      <c r="L252" s="516"/>
      <c r="M252" s="503">
        <f t="shared" si="30"/>
        <v>1</v>
      </c>
      <c r="N252" s="501">
        <f t="shared" si="31"/>
        <v>5.0813008130081306E-4</v>
      </c>
      <c r="O252" s="542" t="s">
        <v>93</v>
      </c>
      <c r="P252" s="422">
        <v>159</v>
      </c>
      <c r="Q252" s="362"/>
    </row>
    <row r="253" spans="1:17" ht="12" customHeight="1" x14ac:dyDescent="0.25">
      <c r="A253" s="142"/>
      <c r="B253" s="143"/>
      <c r="C253" s="143"/>
      <c r="D253" s="143"/>
      <c r="E253" s="143"/>
      <c r="F253" s="143"/>
      <c r="G253" s="144"/>
      <c r="H253" s="144"/>
      <c r="I253" s="145"/>
      <c r="J253" s="379">
        <v>29</v>
      </c>
      <c r="K253" s="387"/>
      <c r="L253" s="515"/>
      <c r="M253" s="503">
        <f t="shared" si="30"/>
        <v>29</v>
      </c>
      <c r="N253" s="501">
        <f t="shared" si="31"/>
        <v>1.4735772357723578E-2</v>
      </c>
      <c r="O253" s="541" t="s">
        <v>108</v>
      </c>
      <c r="P253" s="422">
        <v>117</v>
      </c>
      <c r="Q253" s="362"/>
    </row>
    <row r="254" spans="1:17" ht="12" customHeight="1" x14ac:dyDescent="0.25">
      <c r="A254" s="142"/>
      <c r="B254" s="143"/>
      <c r="C254" s="143"/>
      <c r="D254" s="143"/>
      <c r="E254" s="143"/>
      <c r="F254" s="143"/>
      <c r="G254" s="144"/>
      <c r="H254" s="144"/>
      <c r="I254" s="145"/>
      <c r="J254" s="379"/>
      <c r="K254" s="387"/>
      <c r="L254" s="515"/>
      <c r="M254" s="503">
        <f t="shared" si="30"/>
        <v>0</v>
      </c>
      <c r="N254" s="501">
        <f t="shared" si="31"/>
        <v>0</v>
      </c>
      <c r="O254" s="542" t="s">
        <v>118</v>
      </c>
      <c r="P254" s="422">
        <v>665</v>
      </c>
      <c r="Q254" s="362"/>
    </row>
    <row r="255" spans="1:17" ht="12" customHeight="1" x14ac:dyDescent="0.25">
      <c r="A255" s="142"/>
      <c r="B255" s="143"/>
      <c r="C255" s="143"/>
      <c r="D255" s="143"/>
      <c r="E255" s="143"/>
      <c r="F255" s="143"/>
      <c r="G255" s="144"/>
      <c r="H255" s="144"/>
      <c r="I255" s="145"/>
      <c r="J255" s="379"/>
      <c r="K255" s="387"/>
      <c r="L255" s="516"/>
      <c r="M255" s="503">
        <f t="shared" si="30"/>
        <v>0</v>
      </c>
      <c r="N255" s="501">
        <f t="shared" si="31"/>
        <v>0</v>
      </c>
      <c r="O255" s="542" t="s">
        <v>345</v>
      </c>
      <c r="P255" s="422">
        <v>65</v>
      </c>
      <c r="Q255" s="362"/>
    </row>
    <row r="256" spans="1:17" ht="12" customHeight="1" x14ac:dyDescent="0.25">
      <c r="A256" s="142"/>
      <c r="B256" s="143"/>
      <c r="C256" s="143"/>
      <c r="D256" s="143"/>
      <c r="E256" s="143"/>
      <c r="F256" s="143"/>
      <c r="G256" s="144"/>
      <c r="H256" s="144"/>
      <c r="I256" s="145"/>
      <c r="J256" s="379">
        <v>1</v>
      </c>
      <c r="K256" s="387"/>
      <c r="L256" s="516"/>
      <c r="M256" s="503">
        <f t="shared" si="30"/>
        <v>1</v>
      </c>
      <c r="N256" s="501">
        <f t="shared" si="31"/>
        <v>5.0813008130081306E-4</v>
      </c>
      <c r="O256" s="542" t="s">
        <v>353</v>
      </c>
      <c r="P256" s="422">
        <v>65</v>
      </c>
      <c r="Q256" s="362"/>
    </row>
    <row r="257" spans="1:17" ht="12" customHeight="1" x14ac:dyDescent="0.25">
      <c r="A257" s="142"/>
      <c r="B257" s="143"/>
      <c r="C257" s="143"/>
      <c r="D257" s="143"/>
      <c r="E257" s="143"/>
      <c r="F257" s="143"/>
      <c r="G257" s="144"/>
      <c r="H257" s="144"/>
      <c r="I257" s="145"/>
      <c r="J257" s="379">
        <v>1</v>
      </c>
      <c r="K257" s="387"/>
      <c r="L257" s="516"/>
      <c r="M257" s="503">
        <f t="shared" si="30"/>
        <v>1</v>
      </c>
      <c r="N257" s="501">
        <f t="shared" si="31"/>
        <v>5.0813008130081306E-4</v>
      </c>
      <c r="O257" s="542" t="s">
        <v>26</v>
      </c>
      <c r="P257" s="422">
        <v>164</v>
      </c>
      <c r="Q257" s="362"/>
    </row>
    <row r="258" spans="1:17" ht="12" customHeight="1" x14ac:dyDescent="0.25">
      <c r="A258" s="142"/>
      <c r="B258" s="143"/>
      <c r="C258" s="143"/>
      <c r="D258" s="143"/>
      <c r="E258" s="143"/>
      <c r="F258" s="143"/>
      <c r="G258" s="144"/>
      <c r="H258" s="144"/>
      <c r="I258" s="145"/>
      <c r="J258" s="379">
        <v>7</v>
      </c>
      <c r="K258" s="387"/>
      <c r="L258" s="516"/>
      <c r="M258" s="503">
        <f t="shared" si="30"/>
        <v>7</v>
      </c>
      <c r="N258" s="501">
        <f t="shared" si="31"/>
        <v>3.5569105691056909E-3</v>
      </c>
      <c r="O258" s="542" t="s">
        <v>355</v>
      </c>
      <c r="P258" s="422">
        <v>65</v>
      </c>
      <c r="Q258" s="362"/>
    </row>
    <row r="259" spans="1:17" ht="12" customHeight="1" x14ac:dyDescent="0.25">
      <c r="A259" s="142"/>
      <c r="B259" s="143"/>
      <c r="C259" s="143"/>
      <c r="D259" s="143"/>
      <c r="E259" s="143"/>
      <c r="F259" s="143"/>
      <c r="G259" s="144"/>
      <c r="H259" s="144"/>
      <c r="I259" s="145"/>
      <c r="J259" s="379">
        <v>1</v>
      </c>
      <c r="K259" s="387"/>
      <c r="L259" s="516"/>
      <c r="M259" s="503">
        <f t="shared" si="30"/>
        <v>1</v>
      </c>
      <c r="N259" s="501">
        <f t="shared" si="31"/>
        <v>5.0813008130081306E-4</v>
      </c>
      <c r="O259" s="542" t="s">
        <v>35</v>
      </c>
      <c r="P259" s="422">
        <v>65</v>
      </c>
      <c r="Q259" s="362"/>
    </row>
    <row r="260" spans="1:17" ht="12" customHeight="1" x14ac:dyDescent="0.25">
      <c r="A260" s="142"/>
      <c r="B260" s="143"/>
      <c r="C260" s="143"/>
      <c r="D260" s="143"/>
      <c r="E260" s="143"/>
      <c r="F260" s="143"/>
      <c r="G260" s="144"/>
      <c r="H260" s="144"/>
      <c r="I260" s="145"/>
      <c r="J260" s="379">
        <v>1</v>
      </c>
      <c r="K260" s="387"/>
      <c r="L260" s="516"/>
      <c r="M260" s="503">
        <f t="shared" si="30"/>
        <v>1</v>
      </c>
      <c r="N260" s="501">
        <f t="shared" si="31"/>
        <v>5.0813008130081306E-4</v>
      </c>
      <c r="O260" s="542" t="s">
        <v>360</v>
      </c>
      <c r="P260" s="422">
        <v>639</v>
      </c>
      <c r="Q260" s="362"/>
    </row>
    <row r="261" spans="1:17" ht="12" customHeight="1" x14ac:dyDescent="0.25">
      <c r="A261" s="142"/>
      <c r="B261" s="143"/>
      <c r="C261" s="143"/>
      <c r="D261" s="143"/>
      <c r="E261" s="143"/>
      <c r="F261" s="143"/>
      <c r="G261" s="144"/>
      <c r="H261" s="144"/>
      <c r="I261" s="145"/>
      <c r="J261" s="370">
        <v>23</v>
      </c>
      <c r="K261" s="387"/>
      <c r="L261" s="516"/>
      <c r="M261" s="503">
        <f t="shared" si="30"/>
        <v>23</v>
      </c>
      <c r="N261" s="501">
        <f t="shared" si="31"/>
        <v>1.1686991869918699E-2</v>
      </c>
      <c r="O261" s="542" t="s">
        <v>341</v>
      </c>
      <c r="P261" s="422">
        <v>639</v>
      </c>
      <c r="Q261" s="362"/>
    </row>
    <row r="262" spans="1:17" ht="12" customHeight="1" x14ac:dyDescent="0.25">
      <c r="A262" s="142"/>
      <c r="B262" s="143"/>
      <c r="C262" s="143"/>
      <c r="D262" s="143"/>
      <c r="E262" s="143"/>
      <c r="F262" s="143"/>
      <c r="G262" s="144"/>
      <c r="H262" s="144"/>
      <c r="I262" s="145"/>
      <c r="J262" s="370">
        <v>5</v>
      </c>
      <c r="K262" s="387"/>
      <c r="L262" s="516"/>
      <c r="M262" s="503">
        <f t="shared" si="30"/>
        <v>5</v>
      </c>
      <c r="N262" s="501">
        <f t="shared" si="31"/>
        <v>2.540650406504065E-3</v>
      </c>
      <c r="O262" s="542" t="s">
        <v>359</v>
      </c>
      <c r="P262" s="422">
        <v>639</v>
      </c>
      <c r="Q262" s="362"/>
    </row>
    <row r="263" spans="1:17" ht="12" customHeight="1" thickBot="1" x14ac:dyDescent="0.3">
      <c r="A263" s="150"/>
      <c r="B263" s="151"/>
      <c r="C263" s="151"/>
      <c r="D263" s="151"/>
      <c r="E263" s="151"/>
      <c r="F263" s="151"/>
      <c r="G263" s="152"/>
      <c r="H263" s="152"/>
      <c r="I263" s="153"/>
      <c r="J263" s="380">
        <v>1</v>
      </c>
      <c r="K263" s="388"/>
      <c r="L263" s="517"/>
      <c r="M263" s="506">
        <f t="shared" si="30"/>
        <v>1</v>
      </c>
      <c r="N263" s="402">
        <f>M263/$E$214</f>
        <v>5.0813008130081306E-4</v>
      </c>
      <c r="O263" s="551" t="s">
        <v>85</v>
      </c>
      <c r="P263" s="423">
        <v>43</v>
      </c>
      <c r="Q263" s="381"/>
    </row>
    <row r="264" spans="1:17" ht="12" customHeight="1" thickBot="1" x14ac:dyDescent="0.3">
      <c r="I264" s="154" t="s">
        <v>4</v>
      </c>
      <c r="J264" s="382">
        <f>SUM(J215:J263)</f>
        <v>131</v>
      </c>
      <c r="K264" s="382">
        <f>SUM(K215:K263)</f>
        <v>105</v>
      </c>
      <c r="L264" s="382">
        <f>SUM(L215:L235,L247:L263,L237:L245)</f>
        <v>14</v>
      </c>
      <c r="M264" s="403">
        <f>SUM(M215:M263)</f>
        <v>145</v>
      </c>
      <c r="N264" s="398">
        <f>M264/$E$214</f>
        <v>7.3678861788617891E-2</v>
      </c>
      <c r="O264" s="383"/>
      <c r="P264" s="383"/>
      <c r="Q264" s="384"/>
    </row>
    <row r="266" spans="1:17" ht="15.75" thickBot="1" x14ac:dyDescent="0.3"/>
    <row r="267" spans="1:17" ht="26.25" thickBot="1" x14ac:dyDescent="0.3">
      <c r="A267" s="434" t="s">
        <v>249</v>
      </c>
      <c r="B267" s="434" t="s">
        <v>47</v>
      </c>
      <c r="C267" s="434" t="s">
        <v>243</v>
      </c>
      <c r="D267" s="434" t="s">
        <v>242</v>
      </c>
      <c r="E267" s="434" t="s">
        <v>246</v>
      </c>
      <c r="F267" s="434" t="s">
        <v>16</v>
      </c>
      <c r="G267" s="76" t="s">
        <v>1</v>
      </c>
      <c r="H267" s="76" t="s">
        <v>86</v>
      </c>
      <c r="I267" s="435" t="s">
        <v>23</v>
      </c>
      <c r="J267" s="436" t="s">
        <v>266</v>
      </c>
      <c r="K267" s="437" t="s">
        <v>247</v>
      </c>
      <c r="L267" s="434" t="s">
        <v>248</v>
      </c>
      <c r="M267" s="434" t="s">
        <v>4</v>
      </c>
      <c r="N267" s="434" t="s">
        <v>2</v>
      </c>
      <c r="O267" s="434" t="s">
        <v>20</v>
      </c>
      <c r="P267" s="434" t="s">
        <v>69</v>
      </c>
      <c r="Q267" s="438" t="s">
        <v>6</v>
      </c>
    </row>
    <row r="268" spans="1:17" ht="12" customHeight="1" thickBot="1" x14ac:dyDescent="0.3">
      <c r="A268" s="406">
        <v>1512561</v>
      </c>
      <c r="B268" s="406" t="s">
        <v>244</v>
      </c>
      <c r="C268" s="406" t="s">
        <v>245</v>
      </c>
      <c r="D268" s="406">
        <v>1920</v>
      </c>
      <c r="E268" s="406">
        <v>1963</v>
      </c>
      <c r="F268" s="407">
        <v>1821</v>
      </c>
      <c r="G268" s="408">
        <f>F268/E268</f>
        <v>0.92766174223127862</v>
      </c>
      <c r="H268" s="408">
        <f>$K$52/E268</f>
        <v>7.233825776872134E-2</v>
      </c>
      <c r="I268" s="409">
        <v>45357</v>
      </c>
      <c r="J268" s="410"/>
      <c r="K268" s="410"/>
      <c r="L268" s="411"/>
      <c r="M268" s="412"/>
      <c r="N268" s="413"/>
      <c r="O268" s="414" t="s">
        <v>250</v>
      </c>
      <c r="P268" s="414"/>
      <c r="Q268" s="358"/>
    </row>
    <row r="269" spans="1:17" ht="12" customHeight="1" x14ac:dyDescent="0.25">
      <c r="A269" s="139"/>
      <c r="B269" s="140"/>
      <c r="C269" s="140"/>
      <c r="D269" s="140"/>
      <c r="E269" s="140"/>
      <c r="F269" s="140"/>
      <c r="G269" s="141"/>
      <c r="H269" s="141"/>
      <c r="I269" s="190"/>
      <c r="J269" s="496">
        <v>11</v>
      </c>
      <c r="K269" s="359"/>
      <c r="L269" s="390"/>
      <c r="M269" s="446">
        <f t="shared" ref="M269:M290" si="32">SUM(J269,L269)</f>
        <v>11</v>
      </c>
      <c r="N269" s="415">
        <f>M269/$E$268</f>
        <v>5.6036678553234845E-3</v>
      </c>
      <c r="O269" s="417" t="s">
        <v>252</v>
      </c>
      <c r="P269" s="425">
        <v>211</v>
      </c>
      <c r="Q269" s="360" t="s">
        <v>187</v>
      </c>
    </row>
    <row r="270" spans="1:17" ht="12" customHeight="1" x14ac:dyDescent="0.25">
      <c r="A270" s="142"/>
      <c r="B270" s="143"/>
      <c r="C270" s="143"/>
      <c r="D270" s="143"/>
      <c r="E270" s="143"/>
      <c r="F270" s="143"/>
      <c r="G270" s="144"/>
      <c r="H270" s="144"/>
      <c r="I270" s="191"/>
      <c r="J270" s="497">
        <v>2</v>
      </c>
      <c r="K270" s="361"/>
      <c r="L270" s="391">
        <v>2</v>
      </c>
      <c r="M270" s="447">
        <f t="shared" si="32"/>
        <v>4</v>
      </c>
      <c r="N270" s="416">
        <f>M270/$E$268</f>
        <v>2.0376974019358125E-3</v>
      </c>
      <c r="O270" s="418" t="s">
        <v>87</v>
      </c>
      <c r="P270" s="426">
        <v>141</v>
      </c>
      <c r="Q270" s="362"/>
    </row>
    <row r="271" spans="1:17" ht="12" customHeight="1" x14ac:dyDescent="0.25">
      <c r="A271" s="142"/>
      <c r="B271" s="143"/>
      <c r="C271" s="143"/>
      <c r="D271" s="143"/>
      <c r="E271" s="143"/>
      <c r="F271" s="143"/>
      <c r="G271" s="144"/>
      <c r="H271" s="144"/>
      <c r="I271" s="191"/>
      <c r="J271" s="497">
        <v>1</v>
      </c>
      <c r="K271" s="363"/>
      <c r="L271" s="392"/>
      <c r="M271" s="447">
        <f t="shared" si="32"/>
        <v>1</v>
      </c>
      <c r="N271" s="416">
        <f t="shared" ref="N271:N288" si="33">M271/$E$268</f>
        <v>5.0942435048395313E-4</v>
      </c>
      <c r="O271" s="419" t="s">
        <v>7</v>
      </c>
      <c r="P271" s="427">
        <v>140</v>
      </c>
      <c r="Q271" s="362"/>
    </row>
    <row r="272" spans="1:17" ht="12" customHeight="1" x14ac:dyDescent="0.25">
      <c r="A272" s="142"/>
      <c r="B272" s="143"/>
      <c r="C272" s="143"/>
      <c r="D272" s="143"/>
      <c r="E272" s="143"/>
      <c r="F272" s="143"/>
      <c r="G272" s="144"/>
      <c r="H272" s="144"/>
      <c r="I272" s="191"/>
      <c r="J272" s="497">
        <v>1</v>
      </c>
      <c r="K272" s="361"/>
      <c r="L272" s="392"/>
      <c r="M272" s="447">
        <f t="shared" si="32"/>
        <v>1</v>
      </c>
      <c r="N272" s="416">
        <f t="shared" si="33"/>
        <v>5.0942435048395313E-4</v>
      </c>
      <c r="O272" s="419" t="s">
        <v>8</v>
      </c>
      <c r="P272" s="427">
        <v>210</v>
      </c>
      <c r="Q272" s="362"/>
    </row>
    <row r="273" spans="1:17" ht="12" customHeight="1" x14ac:dyDescent="0.25">
      <c r="A273" s="142"/>
      <c r="B273" s="143"/>
      <c r="C273" s="143"/>
      <c r="D273" s="143"/>
      <c r="E273" s="143"/>
      <c r="F273" s="143"/>
      <c r="G273" s="144"/>
      <c r="H273" s="144"/>
      <c r="I273" s="191"/>
      <c r="J273" s="497">
        <v>37</v>
      </c>
      <c r="K273" s="363"/>
      <c r="L273" s="392"/>
      <c r="M273" s="447">
        <f t="shared" si="32"/>
        <v>37</v>
      </c>
      <c r="N273" s="416">
        <f t="shared" si="33"/>
        <v>1.8848700967906265E-2</v>
      </c>
      <c r="O273" s="418" t="s">
        <v>15</v>
      </c>
      <c r="P273" s="426">
        <v>355</v>
      </c>
      <c r="Q273" s="362"/>
    </row>
    <row r="274" spans="1:17" ht="12" customHeight="1" x14ac:dyDescent="0.25">
      <c r="A274" s="142"/>
      <c r="B274" s="143"/>
      <c r="C274" s="143"/>
      <c r="D274" s="143"/>
      <c r="E274" s="143"/>
      <c r="F274" s="143"/>
      <c r="G274" s="144"/>
      <c r="H274" s="144"/>
      <c r="I274" s="191"/>
      <c r="J274" s="497"/>
      <c r="K274" s="363"/>
      <c r="L274" s="392"/>
      <c r="M274" s="447">
        <f t="shared" si="32"/>
        <v>0</v>
      </c>
      <c r="N274" s="416">
        <f t="shared" si="33"/>
        <v>0</v>
      </c>
      <c r="O274" s="418" t="s">
        <v>393</v>
      </c>
      <c r="P274" s="426">
        <v>738</v>
      </c>
      <c r="Q274" s="362"/>
    </row>
    <row r="275" spans="1:17" ht="12" customHeight="1" x14ac:dyDescent="0.25">
      <c r="A275" s="142"/>
      <c r="B275" s="143"/>
      <c r="C275" s="143"/>
      <c r="D275" s="143"/>
      <c r="E275" s="143"/>
      <c r="F275" s="143"/>
      <c r="G275" s="144"/>
      <c r="H275" s="144"/>
      <c r="I275" s="191"/>
      <c r="J275" s="497"/>
      <c r="K275" s="363"/>
      <c r="L275" s="392"/>
      <c r="M275" s="447">
        <f t="shared" si="32"/>
        <v>0</v>
      </c>
      <c r="N275" s="416">
        <f t="shared" si="33"/>
        <v>0</v>
      </c>
      <c r="O275" s="418" t="s">
        <v>88</v>
      </c>
      <c r="P275" s="426">
        <v>737</v>
      </c>
      <c r="Q275" s="362"/>
    </row>
    <row r="276" spans="1:17" ht="12" customHeight="1" x14ac:dyDescent="0.25">
      <c r="A276" s="142"/>
      <c r="B276" s="143"/>
      <c r="C276" s="143"/>
      <c r="D276" s="143"/>
      <c r="E276" s="143"/>
      <c r="F276" s="143"/>
      <c r="G276" s="144"/>
      <c r="H276" s="144"/>
      <c r="I276" s="191"/>
      <c r="J276" s="497"/>
      <c r="K276" s="361"/>
      <c r="L276" s="392"/>
      <c r="M276" s="447">
        <f t="shared" si="32"/>
        <v>0</v>
      </c>
      <c r="N276" s="416">
        <f t="shared" si="33"/>
        <v>0</v>
      </c>
      <c r="O276" s="418" t="s">
        <v>34</v>
      </c>
      <c r="P276" s="426">
        <v>176</v>
      </c>
      <c r="Q276" s="362"/>
    </row>
    <row r="277" spans="1:17" ht="12" customHeight="1" x14ac:dyDescent="0.25">
      <c r="A277" s="142"/>
      <c r="B277" s="143"/>
      <c r="C277" s="143"/>
      <c r="D277" s="143"/>
      <c r="E277" s="143"/>
      <c r="F277" s="143"/>
      <c r="G277" s="144"/>
      <c r="H277" s="144"/>
      <c r="I277" s="191"/>
      <c r="J277" s="497">
        <v>10</v>
      </c>
      <c r="K277" s="363"/>
      <c r="L277" s="392">
        <v>3</v>
      </c>
      <c r="M277" s="447">
        <f t="shared" si="32"/>
        <v>13</v>
      </c>
      <c r="N277" s="416">
        <f t="shared" si="33"/>
        <v>6.6225165562913907E-3</v>
      </c>
      <c r="O277" s="418" t="s">
        <v>3</v>
      </c>
      <c r="P277" s="426">
        <v>44</v>
      </c>
      <c r="Q277" s="362"/>
    </row>
    <row r="278" spans="1:17" ht="12" customHeight="1" x14ac:dyDescent="0.25">
      <c r="A278" s="142"/>
      <c r="B278" s="143"/>
      <c r="C278" s="143"/>
      <c r="D278" s="143"/>
      <c r="E278" s="143"/>
      <c r="F278" s="143"/>
      <c r="G278" s="144"/>
      <c r="H278" s="144"/>
      <c r="I278" s="191"/>
      <c r="J278" s="497"/>
      <c r="K278" s="363"/>
      <c r="L278" s="392">
        <v>1</v>
      </c>
      <c r="M278" s="447">
        <f t="shared" si="32"/>
        <v>1</v>
      </c>
      <c r="N278" s="416">
        <f t="shared" si="33"/>
        <v>5.0942435048395313E-4</v>
      </c>
      <c r="O278" s="418" t="s">
        <v>19</v>
      </c>
      <c r="P278" s="426">
        <v>119</v>
      </c>
      <c r="Q278" s="362"/>
    </row>
    <row r="279" spans="1:17" ht="12" customHeight="1" x14ac:dyDescent="0.25">
      <c r="A279" s="142"/>
      <c r="B279" s="143"/>
      <c r="C279" s="143"/>
      <c r="D279" s="143"/>
      <c r="E279" s="143"/>
      <c r="F279" s="143"/>
      <c r="G279" s="144"/>
      <c r="H279" s="144"/>
      <c r="I279" s="191"/>
      <c r="J279" s="497">
        <v>1</v>
      </c>
      <c r="K279" s="364"/>
      <c r="L279" s="393"/>
      <c r="M279" s="447">
        <f t="shared" si="32"/>
        <v>1</v>
      </c>
      <c r="N279" s="416">
        <f t="shared" si="33"/>
        <v>5.0942435048395313E-4</v>
      </c>
      <c r="O279" s="418" t="s">
        <v>351</v>
      </c>
      <c r="P279" s="426">
        <v>739</v>
      </c>
      <c r="Q279" s="362"/>
    </row>
    <row r="280" spans="1:17" ht="12" customHeight="1" x14ac:dyDescent="0.25">
      <c r="A280" s="142"/>
      <c r="B280" s="143"/>
      <c r="C280" s="143"/>
      <c r="D280" s="143"/>
      <c r="E280" s="143"/>
      <c r="F280" s="143"/>
      <c r="G280" s="144"/>
      <c r="H280" s="144"/>
      <c r="I280" s="191"/>
      <c r="J280" s="497"/>
      <c r="K280" s="361"/>
      <c r="L280" s="392"/>
      <c r="M280" s="447">
        <f t="shared" si="32"/>
        <v>0</v>
      </c>
      <c r="N280" s="416">
        <f t="shared" si="33"/>
        <v>0</v>
      </c>
      <c r="O280" s="541" t="s">
        <v>108</v>
      </c>
      <c r="P280" s="426">
        <v>117</v>
      </c>
      <c r="Q280" s="362"/>
    </row>
    <row r="281" spans="1:17" ht="12" customHeight="1" x14ac:dyDescent="0.25">
      <c r="A281" s="142"/>
      <c r="B281" s="143"/>
      <c r="C281" s="143"/>
      <c r="D281" s="143"/>
      <c r="E281" s="143"/>
      <c r="F281" s="143"/>
      <c r="G281" s="144"/>
      <c r="H281" s="144"/>
      <c r="I281" s="191"/>
      <c r="J281" s="497"/>
      <c r="K281" s="361"/>
      <c r="L281" s="392">
        <v>9</v>
      </c>
      <c r="M281" s="447">
        <f t="shared" si="32"/>
        <v>9</v>
      </c>
      <c r="N281" s="416">
        <f t="shared" si="33"/>
        <v>4.5848191543555782E-3</v>
      </c>
      <c r="O281" s="418" t="s">
        <v>402</v>
      </c>
      <c r="P281" s="426">
        <v>319</v>
      </c>
      <c r="Q281" s="362"/>
    </row>
    <row r="282" spans="1:17" ht="12" customHeight="1" x14ac:dyDescent="0.25">
      <c r="A282" s="142"/>
      <c r="B282" s="143"/>
      <c r="C282" s="143"/>
      <c r="D282" s="143"/>
      <c r="E282" s="143"/>
      <c r="F282" s="143"/>
      <c r="G282" s="144"/>
      <c r="H282" s="144"/>
      <c r="I282" s="191"/>
      <c r="J282" s="497"/>
      <c r="K282" s="361"/>
      <c r="L282" s="392"/>
      <c r="M282" s="447">
        <f t="shared" si="32"/>
        <v>0</v>
      </c>
      <c r="N282" s="416">
        <f t="shared" si="33"/>
        <v>0</v>
      </c>
      <c r="O282" s="418" t="s">
        <v>256</v>
      </c>
      <c r="P282" s="426">
        <v>705</v>
      </c>
      <c r="Q282" s="362"/>
    </row>
    <row r="283" spans="1:17" ht="12" customHeight="1" x14ac:dyDescent="0.25">
      <c r="A283" s="142"/>
      <c r="B283" s="143"/>
      <c r="C283" s="143"/>
      <c r="D283" s="143"/>
      <c r="E283" s="143"/>
      <c r="F283" s="143"/>
      <c r="G283" s="144"/>
      <c r="H283" s="144"/>
      <c r="I283" s="191"/>
      <c r="J283" s="497">
        <v>4</v>
      </c>
      <c r="K283" s="361"/>
      <c r="L283" s="392"/>
      <c r="M283" s="447">
        <f t="shared" si="32"/>
        <v>4</v>
      </c>
      <c r="N283" s="416">
        <f t="shared" si="33"/>
        <v>2.0376974019358125E-3</v>
      </c>
      <c r="O283" s="418" t="s">
        <v>27</v>
      </c>
      <c r="P283" s="426">
        <v>58</v>
      </c>
      <c r="Q283" s="362"/>
    </row>
    <row r="284" spans="1:17" ht="12" customHeight="1" x14ac:dyDescent="0.25">
      <c r="A284" s="142"/>
      <c r="B284" s="143"/>
      <c r="C284" s="143"/>
      <c r="D284" s="143"/>
      <c r="E284" s="143"/>
      <c r="F284" s="143"/>
      <c r="G284" s="144"/>
      <c r="H284" s="144"/>
      <c r="I284" s="191"/>
      <c r="J284" s="497"/>
      <c r="K284" s="361"/>
      <c r="L284" s="392"/>
      <c r="M284" s="447">
        <f t="shared" si="32"/>
        <v>0</v>
      </c>
      <c r="N284" s="416">
        <f t="shared" si="33"/>
        <v>0</v>
      </c>
      <c r="O284" s="418" t="s">
        <v>200</v>
      </c>
      <c r="P284" s="426">
        <v>70</v>
      </c>
      <c r="Q284" s="362"/>
    </row>
    <row r="285" spans="1:17" ht="12" customHeight="1" x14ac:dyDescent="0.25">
      <c r="A285" s="142"/>
      <c r="B285" s="143"/>
      <c r="C285" s="143"/>
      <c r="D285" s="143"/>
      <c r="E285" s="143"/>
      <c r="F285" s="143"/>
      <c r="G285" s="144"/>
      <c r="H285" s="144"/>
      <c r="I285" s="191"/>
      <c r="J285" s="497"/>
      <c r="K285" s="378"/>
      <c r="L285" s="394"/>
      <c r="M285" s="447">
        <f t="shared" si="32"/>
        <v>0</v>
      </c>
      <c r="N285" s="416">
        <f t="shared" si="33"/>
        <v>0</v>
      </c>
      <c r="O285" s="418" t="s">
        <v>356</v>
      </c>
      <c r="P285" s="426">
        <v>265</v>
      </c>
      <c r="Q285" s="362"/>
    </row>
    <row r="286" spans="1:17" ht="12" customHeight="1" x14ac:dyDescent="0.25">
      <c r="A286" s="142"/>
      <c r="B286" s="143"/>
      <c r="C286" s="143"/>
      <c r="D286" s="143" t="s">
        <v>100</v>
      </c>
      <c r="E286" s="143"/>
      <c r="F286" s="143"/>
      <c r="G286" s="144"/>
      <c r="H286" s="144"/>
      <c r="I286" s="191"/>
      <c r="J286" s="497"/>
      <c r="K286" s="361"/>
      <c r="L286" s="392"/>
      <c r="M286" s="447">
        <f t="shared" si="32"/>
        <v>0</v>
      </c>
      <c r="N286" s="416">
        <f t="shared" si="33"/>
        <v>0</v>
      </c>
      <c r="O286" s="418" t="s">
        <v>71</v>
      </c>
      <c r="P286" s="426">
        <v>388</v>
      </c>
      <c r="Q286" s="362"/>
    </row>
    <row r="287" spans="1:17" ht="12" customHeight="1" x14ac:dyDescent="0.25">
      <c r="A287" s="142"/>
      <c r="B287" s="143"/>
      <c r="C287" s="143"/>
      <c r="D287" s="143"/>
      <c r="E287" s="143"/>
      <c r="F287" s="143"/>
      <c r="G287" s="144"/>
      <c r="H287" s="144"/>
      <c r="I287" s="191"/>
      <c r="J287" s="497"/>
      <c r="K287" s="361"/>
      <c r="L287" s="392"/>
      <c r="M287" s="447">
        <f t="shared" si="32"/>
        <v>0</v>
      </c>
      <c r="N287" s="416">
        <f t="shared" si="33"/>
        <v>0</v>
      </c>
      <c r="O287" s="418" t="s">
        <v>163</v>
      </c>
      <c r="P287" s="426">
        <v>679</v>
      </c>
      <c r="Q287" s="362"/>
    </row>
    <row r="288" spans="1:17" ht="12" customHeight="1" x14ac:dyDescent="0.25">
      <c r="A288" s="142"/>
      <c r="B288" s="143"/>
      <c r="C288" s="143"/>
      <c r="D288" s="143"/>
      <c r="E288" s="143"/>
      <c r="F288" s="143"/>
      <c r="G288" s="144"/>
      <c r="H288" s="144"/>
      <c r="I288" s="191"/>
      <c r="J288" s="487"/>
      <c r="K288" s="361"/>
      <c r="L288" s="392"/>
      <c r="M288" s="447">
        <f t="shared" si="32"/>
        <v>0</v>
      </c>
      <c r="N288" s="416">
        <f t="shared" si="33"/>
        <v>0</v>
      </c>
      <c r="O288" s="418" t="s">
        <v>85</v>
      </c>
      <c r="P288" s="426">
        <v>43</v>
      </c>
      <c r="Q288" s="362"/>
    </row>
    <row r="289" spans="1:17" ht="12" customHeight="1" x14ac:dyDescent="0.25">
      <c r="A289" s="142"/>
      <c r="B289" s="143"/>
      <c r="C289" s="143"/>
      <c r="D289" s="143"/>
      <c r="E289" s="143"/>
      <c r="F289" s="143"/>
      <c r="G289" s="144"/>
      <c r="H289" s="144"/>
      <c r="I289" s="191"/>
      <c r="J289" s="487">
        <v>2</v>
      </c>
      <c r="K289" s="361"/>
      <c r="L289" s="392"/>
      <c r="M289" s="447">
        <f t="shared" si="32"/>
        <v>2</v>
      </c>
      <c r="N289" s="416">
        <f>M289/$E$268</f>
        <v>1.0188487009679063E-3</v>
      </c>
      <c r="O289" s="542" t="s">
        <v>80</v>
      </c>
      <c r="P289" s="422">
        <v>46</v>
      </c>
      <c r="Q289" s="362"/>
    </row>
    <row r="290" spans="1:17" ht="12" customHeight="1" thickBot="1" x14ac:dyDescent="0.3">
      <c r="A290" s="142"/>
      <c r="B290" s="143"/>
      <c r="C290" s="143"/>
      <c r="D290" s="143"/>
      <c r="E290" s="143"/>
      <c r="F290" s="143"/>
      <c r="G290" s="144"/>
      <c r="H290" s="144"/>
      <c r="I290" s="191"/>
      <c r="J290" s="495"/>
      <c r="K290" s="363"/>
      <c r="L290" s="392"/>
      <c r="M290" s="447">
        <f t="shared" si="32"/>
        <v>0</v>
      </c>
      <c r="N290" s="453">
        <f>M290/$E$268</f>
        <v>0</v>
      </c>
      <c r="O290" s="420" t="s">
        <v>277</v>
      </c>
      <c r="P290" s="428">
        <v>65</v>
      </c>
      <c r="Q290" s="362"/>
    </row>
    <row r="291" spans="1:17" ht="12" customHeight="1" thickBot="1" x14ac:dyDescent="0.3">
      <c r="A291" s="142"/>
      <c r="B291" s="143"/>
      <c r="C291" s="143"/>
      <c r="D291" s="143"/>
      <c r="E291" s="143"/>
      <c r="F291" s="143"/>
      <c r="G291" s="144"/>
      <c r="H291" s="144"/>
      <c r="I291" s="192"/>
      <c r="J291" s="367"/>
      <c r="K291" s="367"/>
      <c r="L291" s="368"/>
      <c r="M291" s="369"/>
      <c r="N291" s="369"/>
      <c r="O291" s="424" t="s">
        <v>251</v>
      </c>
      <c r="P291" s="375"/>
      <c r="Q291" s="362"/>
    </row>
    <row r="292" spans="1:17" ht="9" customHeight="1" x14ac:dyDescent="0.25">
      <c r="A292" s="142"/>
      <c r="B292" s="143"/>
      <c r="C292" s="143"/>
      <c r="D292" s="143"/>
      <c r="E292" s="143"/>
      <c r="F292" s="143"/>
      <c r="G292" s="144"/>
      <c r="H292" s="144"/>
      <c r="I292" s="191"/>
      <c r="J292" s="473">
        <v>10</v>
      </c>
      <c r="K292" s="473"/>
      <c r="L292" s="390"/>
      <c r="M292" s="446">
        <f>SUM(J292,L292)</f>
        <v>10</v>
      </c>
      <c r="N292" s="471">
        <f>M292/$E$268</f>
        <v>5.0942435048395313E-3</v>
      </c>
      <c r="O292" s="543" t="s">
        <v>91</v>
      </c>
      <c r="P292" s="443">
        <v>159</v>
      </c>
      <c r="Q292" s="439"/>
    </row>
    <row r="293" spans="1:17" ht="12" customHeight="1" x14ac:dyDescent="0.25">
      <c r="A293" s="142"/>
      <c r="B293" s="143"/>
      <c r="C293" s="143"/>
      <c r="D293" s="143"/>
      <c r="E293" s="143"/>
      <c r="F293" s="143"/>
      <c r="G293" s="144"/>
      <c r="H293" s="144"/>
      <c r="I293" s="191"/>
      <c r="J293" s="474">
        <v>7</v>
      </c>
      <c r="K293" s="474">
        <v>1</v>
      </c>
      <c r="L293" s="392"/>
      <c r="M293" s="447">
        <f>SUM(J293,L293)</f>
        <v>7</v>
      </c>
      <c r="N293" s="472">
        <f>M293/$E$268</f>
        <v>3.5659704533876719E-3</v>
      </c>
      <c r="O293" s="544" t="s">
        <v>9</v>
      </c>
      <c r="P293" s="444">
        <v>331</v>
      </c>
      <c r="Q293" s="439"/>
    </row>
    <row r="294" spans="1:17" ht="12" customHeight="1" x14ac:dyDescent="0.25">
      <c r="A294" s="142"/>
      <c r="B294" s="143"/>
      <c r="C294" s="143"/>
      <c r="D294" s="143"/>
      <c r="E294" s="143"/>
      <c r="F294" s="143"/>
      <c r="G294" s="144"/>
      <c r="H294" s="144"/>
      <c r="I294" s="191"/>
      <c r="J294" s="475">
        <v>5</v>
      </c>
      <c r="K294" s="475"/>
      <c r="L294" s="392"/>
      <c r="M294" s="447">
        <f t="shared" ref="M294:M301" si="34">SUM(J294,L294)</f>
        <v>5</v>
      </c>
      <c r="N294" s="472">
        <f t="shared" ref="N294:N302" si="35">M294/$E$268</f>
        <v>2.5471217524197657E-3</v>
      </c>
      <c r="O294" s="545" t="s">
        <v>94</v>
      </c>
      <c r="P294" s="422">
        <v>265</v>
      </c>
      <c r="Q294" s="439"/>
    </row>
    <row r="295" spans="1:17" ht="12" customHeight="1" x14ac:dyDescent="0.25">
      <c r="A295" s="142"/>
      <c r="B295" s="143"/>
      <c r="C295" s="143"/>
      <c r="D295" s="143"/>
      <c r="E295" s="143"/>
      <c r="F295" s="143"/>
      <c r="G295" s="144"/>
      <c r="H295" s="144"/>
      <c r="I295" s="191"/>
      <c r="J295" s="474">
        <v>5</v>
      </c>
      <c r="K295" s="474">
        <v>1</v>
      </c>
      <c r="L295" s="392"/>
      <c r="M295" s="499">
        <f>SUM(J295,L295)</f>
        <v>5</v>
      </c>
      <c r="N295" s="472">
        <f t="shared" si="35"/>
        <v>2.5471217524197657E-3</v>
      </c>
      <c r="O295" s="544" t="s">
        <v>92</v>
      </c>
      <c r="P295" s="444">
        <v>159</v>
      </c>
      <c r="Q295" s="460" t="s">
        <v>382</v>
      </c>
    </row>
    <row r="296" spans="1:17" ht="12" customHeight="1" x14ac:dyDescent="0.25">
      <c r="A296" s="142"/>
      <c r="B296" s="143"/>
      <c r="C296" s="143"/>
      <c r="D296" s="143"/>
      <c r="E296" s="143"/>
      <c r="F296" s="143"/>
      <c r="G296" s="144"/>
      <c r="H296" s="144"/>
      <c r="I296" s="191"/>
      <c r="J296" s="474">
        <v>2</v>
      </c>
      <c r="K296" s="474"/>
      <c r="L296" s="392"/>
      <c r="M296" s="447">
        <v>0</v>
      </c>
      <c r="N296" s="472">
        <f t="shared" si="35"/>
        <v>0</v>
      </c>
      <c r="O296" s="546" t="s">
        <v>374</v>
      </c>
      <c r="P296" s="444">
        <v>73</v>
      </c>
      <c r="Q296" s="460"/>
    </row>
    <row r="297" spans="1:17" ht="12" customHeight="1" x14ac:dyDescent="0.25">
      <c r="A297" s="142"/>
      <c r="B297" s="143"/>
      <c r="C297" s="143"/>
      <c r="D297" s="143"/>
      <c r="E297" s="143"/>
      <c r="F297" s="143"/>
      <c r="G297" s="144"/>
      <c r="H297" s="144"/>
      <c r="I297" s="191"/>
      <c r="J297" s="474">
        <v>1</v>
      </c>
      <c r="K297" s="474"/>
      <c r="L297" s="392"/>
      <c r="M297" s="447">
        <v>0</v>
      </c>
      <c r="N297" s="472">
        <f t="shared" si="35"/>
        <v>0</v>
      </c>
      <c r="O297" s="546" t="s">
        <v>35</v>
      </c>
      <c r="P297" s="444">
        <v>65</v>
      </c>
      <c r="Q297" s="460"/>
    </row>
    <row r="298" spans="1:17" ht="12" customHeight="1" x14ac:dyDescent="0.25">
      <c r="A298" s="142"/>
      <c r="B298" s="143"/>
      <c r="C298" s="143"/>
      <c r="D298" s="143"/>
      <c r="E298" s="143"/>
      <c r="F298" s="143"/>
      <c r="G298" s="144"/>
      <c r="H298" s="144"/>
      <c r="I298" s="191"/>
      <c r="J298" s="474"/>
      <c r="K298" s="474"/>
      <c r="L298" s="392"/>
      <c r="M298" s="447">
        <f t="shared" si="34"/>
        <v>0</v>
      </c>
      <c r="N298" s="472">
        <f t="shared" si="35"/>
        <v>0</v>
      </c>
      <c r="O298" s="545" t="s">
        <v>80</v>
      </c>
      <c r="P298" s="422">
        <v>46</v>
      </c>
      <c r="Q298" s="439"/>
    </row>
    <row r="299" spans="1:17" ht="12" customHeight="1" x14ac:dyDescent="0.25">
      <c r="A299" s="142"/>
      <c r="B299" s="143"/>
      <c r="C299" s="143"/>
      <c r="D299" s="143"/>
      <c r="E299" s="143"/>
      <c r="F299" s="143"/>
      <c r="G299" s="144"/>
      <c r="H299" s="144"/>
      <c r="I299" s="191"/>
      <c r="J299" s="475">
        <v>69</v>
      </c>
      <c r="K299" s="475">
        <v>5</v>
      </c>
      <c r="L299" s="392"/>
      <c r="M299" s="447">
        <f t="shared" si="34"/>
        <v>69</v>
      </c>
      <c r="N299" s="472">
        <f t="shared" si="35"/>
        <v>3.5150280183392765E-2</v>
      </c>
      <c r="O299" s="544" t="s">
        <v>93</v>
      </c>
      <c r="P299" s="444">
        <v>159</v>
      </c>
      <c r="Q299" s="460" t="s">
        <v>383</v>
      </c>
    </row>
    <row r="300" spans="1:17" ht="12" customHeight="1" x14ac:dyDescent="0.25">
      <c r="A300" s="142"/>
      <c r="B300" s="143"/>
      <c r="C300" s="143"/>
      <c r="D300" s="143"/>
      <c r="E300" s="143"/>
      <c r="F300" s="143"/>
      <c r="G300" s="144"/>
      <c r="H300" s="144"/>
      <c r="I300" s="191"/>
      <c r="J300" s="474">
        <v>15</v>
      </c>
      <c r="K300" s="474"/>
      <c r="L300" s="392"/>
      <c r="M300" s="447">
        <f t="shared" si="34"/>
        <v>15</v>
      </c>
      <c r="N300" s="472">
        <f t="shared" si="35"/>
        <v>7.641365257259297E-3</v>
      </c>
      <c r="O300" s="544" t="s">
        <v>90</v>
      </c>
      <c r="P300" s="444">
        <v>159</v>
      </c>
      <c r="Q300" s="439"/>
    </row>
    <row r="301" spans="1:17" ht="12" customHeight="1" x14ac:dyDescent="0.25">
      <c r="A301" s="142"/>
      <c r="B301" s="143"/>
      <c r="C301" s="143"/>
      <c r="D301" s="143"/>
      <c r="E301" s="143"/>
      <c r="F301" s="143"/>
      <c r="G301" s="144"/>
      <c r="H301" s="144"/>
      <c r="I301" s="191"/>
      <c r="J301" s="475">
        <v>16</v>
      </c>
      <c r="K301" s="475"/>
      <c r="L301" s="392">
        <v>8</v>
      </c>
      <c r="M301" s="447">
        <f t="shared" si="34"/>
        <v>24</v>
      </c>
      <c r="N301" s="472">
        <f t="shared" si="35"/>
        <v>1.2226184411614875E-2</v>
      </c>
      <c r="O301" s="547" t="s">
        <v>109</v>
      </c>
      <c r="P301" s="426">
        <v>159</v>
      </c>
      <c r="Q301" s="439"/>
    </row>
    <row r="302" spans="1:17" ht="12" customHeight="1" x14ac:dyDescent="0.25">
      <c r="A302" s="142"/>
      <c r="B302" s="143"/>
      <c r="C302" s="143"/>
      <c r="D302" s="143"/>
      <c r="E302" s="143"/>
      <c r="F302" s="143"/>
      <c r="G302" s="144"/>
      <c r="H302" s="144"/>
      <c r="I302" s="191"/>
      <c r="J302" s="475">
        <v>3</v>
      </c>
      <c r="K302" s="475"/>
      <c r="L302" s="392"/>
      <c r="M302" s="447">
        <v>0</v>
      </c>
      <c r="N302" s="472">
        <f t="shared" si="35"/>
        <v>0</v>
      </c>
      <c r="O302" s="547" t="s">
        <v>375</v>
      </c>
      <c r="P302" s="426">
        <v>159</v>
      </c>
      <c r="Q302" s="362" t="s">
        <v>380</v>
      </c>
    </row>
    <row r="303" spans="1:17" ht="12" customHeight="1" thickBot="1" x14ac:dyDescent="0.3">
      <c r="A303" s="142"/>
      <c r="B303" s="143"/>
      <c r="C303" s="143"/>
      <c r="D303" s="143"/>
      <c r="E303" s="143"/>
      <c r="F303" s="143"/>
      <c r="G303" s="144"/>
      <c r="H303" s="144"/>
      <c r="I303" s="191"/>
      <c r="J303" s="505">
        <v>1</v>
      </c>
      <c r="K303" s="505"/>
      <c r="L303" s="404"/>
      <c r="M303" s="500">
        <v>0</v>
      </c>
      <c r="N303" s="472">
        <f>M303/$E$268</f>
        <v>0</v>
      </c>
      <c r="O303" s="548" t="s">
        <v>376</v>
      </c>
      <c r="P303" s="428">
        <v>159</v>
      </c>
      <c r="Q303" s="362" t="s">
        <v>379</v>
      </c>
    </row>
    <row r="304" spans="1:17" ht="12" customHeight="1" thickBot="1" x14ac:dyDescent="0.3">
      <c r="A304" s="142"/>
      <c r="B304" s="143"/>
      <c r="C304" s="143"/>
      <c r="D304" s="143"/>
      <c r="E304" s="143"/>
      <c r="F304" s="143"/>
      <c r="G304" s="144"/>
      <c r="H304" s="144"/>
      <c r="I304" s="191"/>
      <c r="J304" s="366"/>
      <c r="K304" s="371"/>
      <c r="L304" s="400"/>
      <c r="M304" s="450">
        <f>SUM(J304,L304)</f>
        <v>0</v>
      </c>
      <c r="N304" s="465">
        <f>M304/$E$268</f>
        <v>0</v>
      </c>
      <c r="O304" s="553" t="s">
        <v>181</v>
      </c>
      <c r="P304" s="459">
        <v>159</v>
      </c>
      <c r="Q304" s="439"/>
    </row>
    <row r="305" spans="1:17" ht="12" customHeight="1" thickBot="1" x14ac:dyDescent="0.3">
      <c r="A305" s="142"/>
      <c r="B305" s="143"/>
      <c r="C305" s="143"/>
      <c r="D305" s="143"/>
      <c r="E305" s="143"/>
      <c r="F305" s="143"/>
      <c r="G305" s="144"/>
      <c r="H305" s="144"/>
      <c r="I305" s="192"/>
      <c r="J305" s="372"/>
      <c r="K305" s="372"/>
      <c r="L305" s="373"/>
      <c r="M305" s="518"/>
      <c r="N305" s="374"/>
      <c r="O305" s="526" t="s">
        <v>257</v>
      </c>
      <c r="P305" s="375"/>
      <c r="Q305" s="362"/>
    </row>
    <row r="306" spans="1:17" ht="12" customHeight="1" x14ac:dyDescent="0.25">
      <c r="A306" s="142"/>
      <c r="B306" s="143"/>
      <c r="C306" s="143"/>
      <c r="D306" s="143"/>
      <c r="E306" s="143"/>
      <c r="F306" s="143"/>
      <c r="G306" s="144"/>
      <c r="H306" s="144"/>
      <c r="I306" s="192"/>
      <c r="J306" s="527">
        <v>12</v>
      </c>
      <c r="K306" s="528"/>
      <c r="L306" s="529"/>
      <c r="M306" s="502">
        <f>SUM(J306,L306)</f>
        <v>12</v>
      </c>
      <c r="N306" s="462">
        <f>M306/$E$268</f>
        <v>6.1130922058074376E-3</v>
      </c>
      <c r="O306" s="550" t="s">
        <v>71</v>
      </c>
      <c r="P306" s="421">
        <v>388</v>
      </c>
      <c r="Q306" s="362"/>
    </row>
    <row r="307" spans="1:17" ht="12" customHeight="1" x14ac:dyDescent="0.25">
      <c r="A307" s="142"/>
      <c r="B307" s="143"/>
      <c r="C307" s="143"/>
      <c r="D307" s="143"/>
      <c r="E307" s="143"/>
      <c r="F307" s="143"/>
      <c r="G307" s="144"/>
      <c r="H307" s="144"/>
      <c r="I307" s="192"/>
      <c r="J307" s="370"/>
      <c r="K307" s="387"/>
      <c r="L307" s="516"/>
      <c r="M307" s="503">
        <f t="shared" ref="M307:M326" si="36">SUM(J307,L307)</f>
        <v>0</v>
      </c>
      <c r="N307" s="501">
        <f>M307/$E$268</f>
        <v>0</v>
      </c>
      <c r="O307" s="542" t="s">
        <v>174</v>
      </c>
      <c r="P307" s="422">
        <v>734</v>
      </c>
      <c r="Q307" s="362"/>
    </row>
    <row r="308" spans="1:17" ht="12" customHeight="1" x14ac:dyDescent="0.25">
      <c r="A308" s="142"/>
      <c r="B308" s="143"/>
      <c r="C308" s="143"/>
      <c r="D308" s="143"/>
      <c r="E308" s="143"/>
      <c r="F308" s="143"/>
      <c r="G308" s="144"/>
      <c r="H308" s="144"/>
      <c r="I308" s="192"/>
      <c r="J308" s="370">
        <v>6</v>
      </c>
      <c r="K308" s="387"/>
      <c r="L308" s="516"/>
      <c r="M308" s="503">
        <f t="shared" si="36"/>
        <v>6</v>
      </c>
      <c r="N308" s="501">
        <f t="shared" ref="N308:N325" si="37">M308/$E$268</f>
        <v>3.0565461029037188E-3</v>
      </c>
      <c r="O308" s="542" t="s">
        <v>117</v>
      </c>
      <c r="P308" s="422">
        <v>735</v>
      </c>
      <c r="Q308" s="362"/>
    </row>
    <row r="309" spans="1:17" ht="12" customHeight="1" x14ac:dyDescent="0.25">
      <c r="A309" s="142"/>
      <c r="B309" s="143"/>
      <c r="C309" s="143"/>
      <c r="D309" s="143"/>
      <c r="E309" s="143"/>
      <c r="F309" s="143"/>
      <c r="G309" s="144"/>
      <c r="H309" s="144"/>
      <c r="I309" s="192"/>
      <c r="J309" s="370"/>
      <c r="K309" s="387"/>
      <c r="L309" s="516"/>
      <c r="M309" s="503">
        <f t="shared" si="36"/>
        <v>0</v>
      </c>
      <c r="N309" s="501">
        <f t="shared" si="37"/>
        <v>0</v>
      </c>
      <c r="O309" s="542" t="s">
        <v>346</v>
      </c>
      <c r="P309" s="422">
        <v>43</v>
      </c>
      <c r="Q309" s="362"/>
    </row>
    <row r="310" spans="1:17" ht="12" customHeight="1" x14ac:dyDescent="0.25">
      <c r="A310" s="142"/>
      <c r="B310" s="143"/>
      <c r="C310" s="143"/>
      <c r="D310" s="143"/>
      <c r="E310" s="143"/>
      <c r="F310" s="143"/>
      <c r="G310" s="144"/>
      <c r="H310" s="144"/>
      <c r="I310" s="145"/>
      <c r="J310" s="370"/>
      <c r="K310" s="387"/>
      <c r="L310" s="516"/>
      <c r="M310" s="503">
        <f t="shared" si="36"/>
        <v>0</v>
      </c>
      <c r="N310" s="501">
        <f t="shared" si="37"/>
        <v>0</v>
      </c>
      <c r="O310" s="542" t="s">
        <v>177</v>
      </c>
      <c r="P310" s="422">
        <v>736</v>
      </c>
      <c r="Q310" s="362"/>
    </row>
    <row r="311" spans="1:17" ht="12" customHeight="1" x14ac:dyDescent="0.25">
      <c r="A311" s="142"/>
      <c r="B311" s="143"/>
      <c r="C311" s="143"/>
      <c r="D311" s="143"/>
      <c r="E311" s="143"/>
      <c r="F311" s="143"/>
      <c r="G311" s="144"/>
      <c r="H311" s="144"/>
      <c r="I311" s="145"/>
      <c r="J311" s="379"/>
      <c r="K311" s="387"/>
      <c r="L311" s="516"/>
      <c r="M311" s="503">
        <f t="shared" si="36"/>
        <v>0</v>
      </c>
      <c r="N311" s="501">
        <f t="shared" si="37"/>
        <v>0</v>
      </c>
      <c r="O311" s="542" t="s">
        <v>93</v>
      </c>
      <c r="P311" s="422">
        <v>159</v>
      </c>
      <c r="Q311" s="362"/>
    </row>
    <row r="312" spans="1:17" ht="12" customHeight="1" x14ac:dyDescent="0.25">
      <c r="A312" s="142"/>
      <c r="B312" s="143"/>
      <c r="C312" s="143"/>
      <c r="D312" s="143"/>
      <c r="E312" s="143"/>
      <c r="F312" s="143"/>
      <c r="G312" s="144"/>
      <c r="H312" s="144"/>
      <c r="I312" s="145"/>
      <c r="J312" s="379">
        <v>20</v>
      </c>
      <c r="K312" s="387"/>
      <c r="L312" s="515"/>
      <c r="M312" s="503">
        <f t="shared" si="36"/>
        <v>20</v>
      </c>
      <c r="N312" s="501">
        <f t="shared" si="37"/>
        <v>1.0188487009679063E-2</v>
      </c>
      <c r="O312" s="541" t="s">
        <v>108</v>
      </c>
      <c r="P312" s="422">
        <v>117</v>
      </c>
      <c r="Q312" s="362"/>
    </row>
    <row r="313" spans="1:17" ht="12" customHeight="1" x14ac:dyDescent="0.25">
      <c r="A313" s="142"/>
      <c r="B313" s="143"/>
      <c r="C313" s="143"/>
      <c r="D313" s="143"/>
      <c r="E313" s="143"/>
      <c r="F313" s="143"/>
      <c r="G313" s="144"/>
      <c r="H313" s="144"/>
      <c r="I313" s="145"/>
      <c r="J313" s="379">
        <v>3</v>
      </c>
      <c r="K313" s="387"/>
      <c r="L313" s="515"/>
      <c r="M313" s="503">
        <f t="shared" si="36"/>
        <v>3</v>
      </c>
      <c r="N313" s="501">
        <f t="shared" si="37"/>
        <v>1.5282730514518594E-3</v>
      </c>
      <c r="O313" s="542" t="s">
        <v>118</v>
      </c>
      <c r="P313" s="422">
        <v>665</v>
      </c>
      <c r="Q313" s="362"/>
    </row>
    <row r="314" spans="1:17" ht="12" customHeight="1" x14ac:dyDescent="0.25">
      <c r="A314" s="142"/>
      <c r="B314" s="143"/>
      <c r="C314" s="143"/>
      <c r="D314" s="143"/>
      <c r="E314" s="143"/>
      <c r="F314" s="143"/>
      <c r="G314" s="144"/>
      <c r="H314" s="144"/>
      <c r="I314" s="145"/>
      <c r="J314" s="379"/>
      <c r="K314" s="387"/>
      <c r="L314" s="516"/>
      <c r="M314" s="503">
        <f t="shared" si="36"/>
        <v>0</v>
      </c>
      <c r="N314" s="501">
        <f t="shared" si="37"/>
        <v>0</v>
      </c>
      <c r="O314" s="542" t="s">
        <v>345</v>
      </c>
      <c r="P314" s="422">
        <v>65</v>
      </c>
      <c r="Q314" s="362"/>
    </row>
    <row r="315" spans="1:17" ht="12" customHeight="1" x14ac:dyDescent="0.25">
      <c r="A315" s="142"/>
      <c r="B315" s="143"/>
      <c r="C315" s="143"/>
      <c r="D315" s="143"/>
      <c r="E315" s="143"/>
      <c r="F315" s="143"/>
      <c r="G315" s="144"/>
      <c r="H315" s="144"/>
      <c r="I315" s="145"/>
      <c r="J315" s="379"/>
      <c r="K315" s="387"/>
      <c r="L315" s="516"/>
      <c r="M315" s="503">
        <f t="shared" si="36"/>
        <v>0</v>
      </c>
      <c r="N315" s="501">
        <f t="shared" si="37"/>
        <v>0</v>
      </c>
      <c r="O315" s="542" t="s">
        <v>353</v>
      </c>
      <c r="P315" s="422">
        <v>65</v>
      </c>
      <c r="Q315" s="362"/>
    </row>
    <row r="316" spans="1:17" ht="12" customHeight="1" x14ac:dyDescent="0.25">
      <c r="A316" s="142"/>
      <c r="B316" s="143"/>
      <c r="C316" s="143"/>
      <c r="D316" s="143"/>
      <c r="E316" s="143"/>
      <c r="F316" s="143"/>
      <c r="G316" s="144"/>
      <c r="H316" s="144"/>
      <c r="I316" s="145"/>
      <c r="J316" s="379">
        <v>5</v>
      </c>
      <c r="K316" s="387"/>
      <c r="L316" s="516"/>
      <c r="M316" s="503">
        <f t="shared" si="36"/>
        <v>5</v>
      </c>
      <c r="N316" s="501">
        <f t="shared" si="37"/>
        <v>2.5471217524197657E-3</v>
      </c>
      <c r="O316" s="542" t="s">
        <v>26</v>
      </c>
      <c r="P316" s="422">
        <v>164</v>
      </c>
      <c r="Q316" s="362"/>
    </row>
    <row r="317" spans="1:17" ht="12" customHeight="1" x14ac:dyDescent="0.25">
      <c r="A317" s="142"/>
      <c r="B317" s="143"/>
      <c r="C317" s="143"/>
      <c r="D317" s="143"/>
      <c r="E317" s="143"/>
      <c r="F317" s="143"/>
      <c r="G317" s="144"/>
      <c r="H317" s="144"/>
      <c r="I317" s="145"/>
      <c r="J317" s="379"/>
      <c r="K317" s="387"/>
      <c r="L317" s="516"/>
      <c r="M317" s="503">
        <f t="shared" si="36"/>
        <v>0</v>
      </c>
      <c r="N317" s="501">
        <f t="shared" si="37"/>
        <v>0</v>
      </c>
      <c r="O317" s="542" t="s">
        <v>89</v>
      </c>
      <c r="P317" s="422">
        <v>65</v>
      </c>
      <c r="Q317" s="362"/>
    </row>
    <row r="318" spans="1:17" ht="12" customHeight="1" x14ac:dyDescent="0.25">
      <c r="A318" s="142"/>
      <c r="B318" s="143"/>
      <c r="C318" s="143"/>
      <c r="D318" s="143"/>
      <c r="E318" s="143"/>
      <c r="F318" s="143"/>
      <c r="G318" s="144"/>
      <c r="H318" s="144"/>
      <c r="I318" s="145"/>
      <c r="J318" s="379">
        <v>2</v>
      </c>
      <c r="K318" s="387"/>
      <c r="L318" s="516"/>
      <c r="M318" s="503">
        <f t="shared" si="36"/>
        <v>2</v>
      </c>
      <c r="N318" s="501">
        <f t="shared" si="37"/>
        <v>1.0188487009679063E-3</v>
      </c>
      <c r="O318" s="542" t="s">
        <v>381</v>
      </c>
      <c r="P318" s="422">
        <v>65</v>
      </c>
      <c r="Q318" s="362"/>
    </row>
    <row r="319" spans="1:17" ht="12" customHeight="1" x14ac:dyDescent="0.25">
      <c r="A319" s="142"/>
      <c r="B319" s="143"/>
      <c r="C319" s="143"/>
      <c r="D319" s="143"/>
      <c r="E319" s="143"/>
      <c r="F319" s="143"/>
      <c r="G319" s="144"/>
      <c r="H319" s="144"/>
      <c r="I319" s="145"/>
      <c r="J319" s="379">
        <v>2</v>
      </c>
      <c r="K319" s="387"/>
      <c r="L319" s="516"/>
      <c r="M319" s="503">
        <f t="shared" si="36"/>
        <v>2</v>
      </c>
      <c r="N319" s="501">
        <f t="shared" si="37"/>
        <v>1.0188487009679063E-3</v>
      </c>
      <c r="O319" s="542" t="s">
        <v>378</v>
      </c>
      <c r="P319" s="422">
        <v>159</v>
      </c>
      <c r="Q319" s="362"/>
    </row>
    <row r="320" spans="1:17" ht="12" customHeight="1" x14ac:dyDescent="0.25">
      <c r="A320" s="142"/>
      <c r="B320" s="143"/>
      <c r="C320" s="143"/>
      <c r="D320" s="143"/>
      <c r="E320" s="143"/>
      <c r="F320" s="143"/>
      <c r="G320" s="144"/>
      <c r="H320" s="144"/>
      <c r="I320" s="145"/>
      <c r="J320" s="379">
        <v>1</v>
      </c>
      <c r="K320" s="387"/>
      <c r="L320" s="516"/>
      <c r="M320" s="503">
        <f t="shared" si="36"/>
        <v>1</v>
      </c>
      <c r="N320" s="501">
        <f t="shared" si="37"/>
        <v>5.0942435048395313E-4</v>
      </c>
      <c r="O320" s="542" t="s">
        <v>355</v>
      </c>
      <c r="P320" s="422">
        <v>739</v>
      </c>
      <c r="Q320" s="362"/>
    </row>
    <row r="321" spans="1:17" ht="12" customHeight="1" x14ac:dyDescent="0.25">
      <c r="A321" s="142"/>
      <c r="B321" s="143"/>
      <c r="C321" s="143"/>
      <c r="D321" s="143"/>
      <c r="E321" s="143"/>
      <c r="F321" s="143"/>
      <c r="G321" s="144"/>
      <c r="H321" s="144"/>
      <c r="I321" s="145"/>
      <c r="J321" s="379"/>
      <c r="K321" s="387"/>
      <c r="L321" s="516"/>
      <c r="M321" s="503">
        <f t="shared" si="36"/>
        <v>0</v>
      </c>
      <c r="N321" s="501">
        <f t="shared" si="37"/>
        <v>0</v>
      </c>
      <c r="O321" s="542" t="s">
        <v>35</v>
      </c>
      <c r="P321" s="422">
        <v>65</v>
      </c>
      <c r="Q321" s="362"/>
    </row>
    <row r="322" spans="1:17" ht="12" customHeight="1" x14ac:dyDescent="0.25">
      <c r="A322" s="142"/>
      <c r="B322" s="143"/>
      <c r="C322" s="143"/>
      <c r="D322" s="143"/>
      <c r="E322" s="143"/>
      <c r="F322" s="143"/>
      <c r="G322" s="144"/>
      <c r="H322" s="144"/>
      <c r="I322" s="145"/>
      <c r="J322" s="379">
        <v>1</v>
      </c>
      <c r="K322" s="387"/>
      <c r="L322" s="516"/>
      <c r="M322" s="503">
        <f t="shared" si="36"/>
        <v>1</v>
      </c>
      <c r="N322" s="501">
        <f t="shared" si="37"/>
        <v>5.0942435048395313E-4</v>
      </c>
      <c r="O322" s="542" t="s">
        <v>377</v>
      </c>
      <c r="P322" s="422">
        <v>65</v>
      </c>
      <c r="Q322" s="362"/>
    </row>
    <row r="323" spans="1:17" ht="12" customHeight="1" x14ac:dyDescent="0.25">
      <c r="A323" s="142"/>
      <c r="B323" s="143"/>
      <c r="C323" s="143"/>
      <c r="D323" s="143"/>
      <c r="E323" s="143"/>
      <c r="F323" s="143"/>
      <c r="G323" s="144"/>
      <c r="H323" s="144"/>
      <c r="I323" s="145"/>
      <c r="J323" s="379"/>
      <c r="K323" s="387"/>
      <c r="L323" s="516"/>
      <c r="M323" s="503">
        <f t="shared" si="36"/>
        <v>0</v>
      </c>
      <c r="N323" s="501">
        <f t="shared" si="37"/>
        <v>0</v>
      </c>
      <c r="O323" s="542" t="s">
        <v>360</v>
      </c>
      <c r="P323" s="422">
        <v>639</v>
      </c>
      <c r="Q323" s="362"/>
    </row>
    <row r="324" spans="1:17" ht="12" customHeight="1" x14ac:dyDescent="0.25">
      <c r="A324" s="142"/>
      <c r="B324" s="143"/>
      <c r="C324" s="143"/>
      <c r="D324" s="143"/>
      <c r="E324" s="143"/>
      <c r="F324" s="143"/>
      <c r="G324" s="144"/>
      <c r="H324" s="144"/>
      <c r="I324" s="145"/>
      <c r="J324" s="370">
        <v>7</v>
      </c>
      <c r="K324" s="387"/>
      <c r="L324" s="516"/>
      <c r="M324" s="503">
        <f t="shared" si="36"/>
        <v>7</v>
      </c>
      <c r="N324" s="501">
        <f t="shared" si="37"/>
        <v>3.5659704533876719E-3</v>
      </c>
      <c r="O324" s="542" t="s">
        <v>341</v>
      </c>
      <c r="P324" s="422">
        <v>639</v>
      </c>
      <c r="Q324" s="362"/>
    </row>
    <row r="325" spans="1:17" ht="12" customHeight="1" x14ac:dyDescent="0.25">
      <c r="A325" s="142"/>
      <c r="B325" s="143"/>
      <c r="C325" s="143"/>
      <c r="D325" s="143"/>
      <c r="E325" s="143"/>
      <c r="F325" s="143"/>
      <c r="G325" s="144"/>
      <c r="H325" s="144"/>
      <c r="I325" s="145"/>
      <c r="J325" s="370">
        <v>9</v>
      </c>
      <c r="K325" s="387"/>
      <c r="L325" s="516"/>
      <c r="M325" s="503">
        <f t="shared" si="36"/>
        <v>9</v>
      </c>
      <c r="N325" s="501">
        <f t="shared" si="37"/>
        <v>4.5848191543555782E-3</v>
      </c>
      <c r="O325" s="542" t="s">
        <v>359</v>
      </c>
      <c r="P325" s="422">
        <v>639</v>
      </c>
      <c r="Q325" s="362"/>
    </row>
    <row r="326" spans="1:17" ht="12" customHeight="1" thickBot="1" x14ac:dyDescent="0.3">
      <c r="A326" s="150"/>
      <c r="B326" s="151"/>
      <c r="C326" s="151"/>
      <c r="D326" s="151"/>
      <c r="E326" s="151"/>
      <c r="F326" s="151"/>
      <c r="G326" s="152"/>
      <c r="H326" s="152"/>
      <c r="I326" s="153"/>
      <c r="J326" s="380"/>
      <c r="K326" s="388"/>
      <c r="L326" s="517"/>
      <c r="M326" s="506">
        <f t="shared" si="36"/>
        <v>0</v>
      </c>
      <c r="N326" s="402">
        <f>M326/$E$268</f>
        <v>0</v>
      </c>
      <c r="O326" s="551" t="s">
        <v>85</v>
      </c>
      <c r="P326" s="423">
        <v>43</v>
      </c>
      <c r="Q326" s="381"/>
    </row>
    <row r="327" spans="1:17" ht="12" customHeight="1" thickBot="1" x14ac:dyDescent="0.3">
      <c r="I327" s="154" t="s">
        <v>4</v>
      </c>
      <c r="J327" s="382">
        <f>SUM(J269:J326)</f>
        <v>271</v>
      </c>
      <c r="K327" s="382">
        <f>SUM(K269:K326)</f>
        <v>7</v>
      </c>
      <c r="L327" s="382">
        <f>SUM(L269:L290,L306:L326,L292:L304)</f>
        <v>23</v>
      </c>
      <c r="M327" s="403">
        <f>SUM(M269:M326)</f>
        <v>287</v>
      </c>
      <c r="N327" s="398">
        <f>M327/$E$268</f>
        <v>0.14620478858889455</v>
      </c>
      <c r="O327" s="383"/>
      <c r="P327" s="383"/>
      <c r="Q327" s="384"/>
    </row>
    <row r="329" spans="1:17" ht="15.75" thickBot="1" x14ac:dyDescent="0.3"/>
    <row r="330" spans="1:17" ht="26.25" thickBot="1" x14ac:dyDescent="0.3">
      <c r="A330" s="434" t="s">
        <v>249</v>
      </c>
      <c r="B330" s="434" t="s">
        <v>47</v>
      </c>
      <c r="C330" s="434" t="s">
        <v>243</v>
      </c>
      <c r="D330" s="434" t="s">
        <v>242</v>
      </c>
      <c r="E330" s="434" t="s">
        <v>246</v>
      </c>
      <c r="F330" s="434" t="s">
        <v>16</v>
      </c>
      <c r="G330" s="76" t="s">
        <v>1</v>
      </c>
      <c r="H330" s="76" t="s">
        <v>86</v>
      </c>
      <c r="I330" s="435" t="s">
        <v>23</v>
      </c>
      <c r="J330" s="436" t="s">
        <v>266</v>
      </c>
      <c r="K330" s="437" t="s">
        <v>247</v>
      </c>
      <c r="L330" s="434" t="s">
        <v>248</v>
      </c>
      <c r="M330" s="434" t="s">
        <v>4</v>
      </c>
      <c r="N330" s="434" t="s">
        <v>2</v>
      </c>
      <c r="O330" s="434" t="s">
        <v>20</v>
      </c>
      <c r="P330" s="434" t="s">
        <v>69</v>
      </c>
      <c r="Q330" s="438" t="s">
        <v>6</v>
      </c>
    </row>
    <row r="331" spans="1:17" ht="15.75" thickBot="1" x14ac:dyDescent="0.3">
      <c r="A331" s="406">
        <v>1517632</v>
      </c>
      <c r="B331" s="406" t="s">
        <v>244</v>
      </c>
      <c r="C331" s="406" t="s">
        <v>245</v>
      </c>
      <c r="D331" s="406">
        <v>1920</v>
      </c>
      <c r="E331" s="406">
        <v>1976</v>
      </c>
      <c r="F331" s="407">
        <v>1834</v>
      </c>
      <c r="G331" s="408">
        <f>F331/E331</f>
        <v>0.92813765182186236</v>
      </c>
      <c r="H331" s="408">
        <f>$K$52/E331</f>
        <v>7.186234817813765E-2</v>
      </c>
      <c r="I331" s="409">
        <v>45364</v>
      </c>
      <c r="J331" s="410"/>
      <c r="K331" s="410"/>
      <c r="L331" s="411"/>
      <c r="M331" s="412"/>
      <c r="N331" s="413"/>
      <c r="O331" s="414" t="s">
        <v>250</v>
      </c>
      <c r="P331" s="414"/>
      <c r="Q331" s="358"/>
    </row>
    <row r="332" spans="1:17" x14ac:dyDescent="0.25">
      <c r="A332" s="139"/>
      <c r="B332" s="140"/>
      <c r="C332" s="140"/>
      <c r="D332" s="140"/>
      <c r="E332" s="140"/>
      <c r="F332" s="140"/>
      <c r="G332" s="141"/>
      <c r="H332" s="141"/>
      <c r="I332" s="190"/>
      <c r="J332" s="496">
        <v>2</v>
      </c>
      <c r="K332" s="359"/>
      <c r="L332" s="390"/>
      <c r="M332" s="446">
        <f t="shared" ref="M332:M353" si="38">SUM(J332,L332)</f>
        <v>2</v>
      </c>
      <c r="N332" s="415">
        <f>M332/$E$331</f>
        <v>1.0121457489878543E-3</v>
      </c>
      <c r="O332" s="417" t="s">
        <v>252</v>
      </c>
      <c r="P332" s="425">
        <v>211</v>
      </c>
      <c r="Q332" s="360" t="s">
        <v>187</v>
      </c>
    </row>
    <row r="333" spans="1:17" x14ac:dyDescent="0.25">
      <c r="A333" s="142"/>
      <c r="B333" s="143"/>
      <c r="C333" s="143"/>
      <c r="D333" s="143"/>
      <c r="E333" s="143"/>
      <c r="F333" s="143"/>
      <c r="G333" s="144"/>
      <c r="H333" s="144"/>
      <c r="I333" s="191"/>
      <c r="J333" s="497">
        <v>1</v>
      </c>
      <c r="K333" s="361"/>
      <c r="L333" s="391"/>
      <c r="M333" s="447">
        <f t="shared" si="38"/>
        <v>1</v>
      </c>
      <c r="N333" s="416">
        <f>M333/$E$331</f>
        <v>5.0607287449392713E-4</v>
      </c>
      <c r="O333" s="418" t="s">
        <v>87</v>
      </c>
      <c r="P333" s="426">
        <v>141</v>
      </c>
      <c r="Q333" s="362"/>
    </row>
    <row r="334" spans="1:17" x14ac:dyDescent="0.25">
      <c r="A334" s="142"/>
      <c r="B334" s="143"/>
      <c r="C334" s="143"/>
      <c r="D334" s="143"/>
      <c r="E334" s="143"/>
      <c r="F334" s="143"/>
      <c r="G334" s="144"/>
      <c r="H334" s="144"/>
      <c r="I334" s="191"/>
      <c r="J334" s="497"/>
      <c r="K334" s="363"/>
      <c r="L334" s="392"/>
      <c r="M334" s="447">
        <f t="shared" si="38"/>
        <v>0</v>
      </c>
      <c r="N334" s="416">
        <f t="shared" ref="N334:N352" si="39">M334/$E$331</f>
        <v>0</v>
      </c>
      <c r="O334" s="419" t="s">
        <v>7</v>
      </c>
      <c r="P334" s="427">
        <v>140</v>
      </c>
      <c r="Q334" s="362"/>
    </row>
    <row r="335" spans="1:17" x14ac:dyDescent="0.25">
      <c r="A335" s="142"/>
      <c r="B335" s="143"/>
      <c r="C335" s="143"/>
      <c r="D335" s="143"/>
      <c r="E335" s="143"/>
      <c r="F335" s="143"/>
      <c r="G335" s="144"/>
      <c r="H335" s="144"/>
      <c r="I335" s="191"/>
      <c r="J335" s="497"/>
      <c r="K335" s="361"/>
      <c r="L335" s="392"/>
      <c r="M335" s="447">
        <f t="shared" si="38"/>
        <v>0</v>
      </c>
      <c r="N335" s="416">
        <f t="shared" si="39"/>
        <v>0</v>
      </c>
      <c r="O335" s="419" t="s">
        <v>8</v>
      </c>
      <c r="P335" s="427">
        <v>210</v>
      </c>
      <c r="Q335" s="362"/>
    </row>
    <row r="336" spans="1:17" x14ac:dyDescent="0.25">
      <c r="A336" s="142"/>
      <c r="B336" s="143"/>
      <c r="C336" s="143"/>
      <c r="D336" s="143"/>
      <c r="E336" s="143"/>
      <c r="F336" s="143"/>
      <c r="G336" s="144"/>
      <c r="H336" s="144"/>
      <c r="I336" s="191"/>
      <c r="J336" s="497">
        <v>52</v>
      </c>
      <c r="K336" s="363"/>
      <c r="L336" s="392"/>
      <c r="M336" s="447">
        <f t="shared" si="38"/>
        <v>52</v>
      </c>
      <c r="N336" s="416">
        <f t="shared" si="39"/>
        <v>2.6315789473684209E-2</v>
      </c>
      <c r="O336" s="418" t="s">
        <v>15</v>
      </c>
      <c r="P336" s="426">
        <v>355</v>
      </c>
      <c r="Q336" s="362"/>
    </row>
    <row r="337" spans="1:17" x14ac:dyDescent="0.25">
      <c r="A337" s="142"/>
      <c r="B337" s="143"/>
      <c r="C337" s="143"/>
      <c r="D337" s="143"/>
      <c r="E337" s="143"/>
      <c r="F337" s="143"/>
      <c r="G337" s="144"/>
      <c r="H337" s="144"/>
      <c r="I337" s="191"/>
      <c r="J337" s="497"/>
      <c r="K337" s="363"/>
      <c r="L337" s="392"/>
      <c r="M337" s="447">
        <f t="shared" si="38"/>
        <v>0</v>
      </c>
      <c r="N337" s="416">
        <f t="shared" si="39"/>
        <v>0</v>
      </c>
      <c r="O337" s="418" t="s">
        <v>393</v>
      </c>
      <c r="P337" s="426">
        <v>738</v>
      </c>
      <c r="Q337" s="362"/>
    </row>
    <row r="338" spans="1:17" x14ac:dyDescent="0.25">
      <c r="A338" s="142"/>
      <c r="B338" s="143"/>
      <c r="C338" s="143"/>
      <c r="D338" s="143"/>
      <c r="E338" s="143"/>
      <c r="F338" s="143"/>
      <c r="G338" s="144"/>
      <c r="H338" s="144"/>
      <c r="I338" s="191"/>
      <c r="J338" s="497"/>
      <c r="K338" s="363"/>
      <c r="L338" s="392"/>
      <c r="M338" s="447">
        <f t="shared" si="38"/>
        <v>0</v>
      </c>
      <c r="N338" s="416">
        <f t="shared" si="39"/>
        <v>0</v>
      </c>
      <c r="O338" s="418" t="s">
        <v>88</v>
      </c>
      <c r="P338" s="426">
        <v>737</v>
      </c>
      <c r="Q338" s="362"/>
    </row>
    <row r="339" spans="1:17" x14ac:dyDescent="0.25">
      <c r="A339" s="142"/>
      <c r="B339" s="143"/>
      <c r="C339" s="143"/>
      <c r="D339" s="143"/>
      <c r="E339" s="143"/>
      <c r="F339" s="143"/>
      <c r="G339" s="144"/>
      <c r="H339" s="144"/>
      <c r="I339" s="191"/>
      <c r="J339" s="497">
        <v>2</v>
      </c>
      <c r="K339" s="361"/>
      <c r="L339" s="392"/>
      <c r="M339" s="447">
        <f t="shared" si="38"/>
        <v>2</v>
      </c>
      <c r="N339" s="416">
        <f t="shared" si="39"/>
        <v>1.0121457489878543E-3</v>
      </c>
      <c r="O339" s="418" t="s">
        <v>34</v>
      </c>
      <c r="P339" s="426">
        <v>176</v>
      </c>
      <c r="Q339" s="362"/>
    </row>
    <row r="340" spans="1:17" x14ac:dyDescent="0.25">
      <c r="A340" s="142"/>
      <c r="B340" s="143"/>
      <c r="C340" s="143"/>
      <c r="D340" s="143"/>
      <c r="E340" s="143"/>
      <c r="F340" s="143"/>
      <c r="G340" s="144"/>
      <c r="H340" s="144"/>
      <c r="I340" s="191"/>
      <c r="J340" s="497">
        <v>5</v>
      </c>
      <c r="K340" s="363"/>
      <c r="L340" s="392"/>
      <c r="M340" s="447">
        <f t="shared" si="38"/>
        <v>5</v>
      </c>
      <c r="N340" s="416">
        <f t="shared" si="39"/>
        <v>2.5303643724696357E-3</v>
      </c>
      <c r="O340" s="418" t="s">
        <v>3</v>
      </c>
      <c r="P340" s="426">
        <v>44</v>
      </c>
      <c r="Q340" s="362"/>
    </row>
    <row r="341" spans="1:17" x14ac:dyDescent="0.25">
      <c r="A341" s="142"/>
      <c r="B341" s="143"/>
      <c r="C341" s="143"/>
      <c r="D341" s="143"/>
      <c r="E341" s="143"/>
      <c r="F341" s="143"/>
      <c r="G341" s="144"/>
      <c r="H341" s="144"/>
      <c r="I341" s="191"/>
      <c r="J341" s="497"/>
      <c r="K341" s="363"/>
      <c r="L341" s="392"/>
      <c r="M341" s="447">
        <f t="shared" si="38"/>
        <v>0</v>
      </c>
      <c r="N341" s="416">
        <f t="shared" si="39"/>
        <v>0</v>
      </c>
      <c r="O341" s="418" t="s">
        <v>19</v>
      </c>
      <c r="P341" s="426">
        <v>119</v>
      </c>
      <c r="Q341" s="362"/>
    </row>
    <row r="342" spans="1:17" x14ac:dyDescent="0.25">
      <c r="A342" s="142"/>
      <c r="B342" s="143"/>
      <c r="C342" s="143"/>
      <c r="D342" s="143"/>
      <c r="E342" s="143"/>
      <c r="F342" s="143"/>
      <c r="G342" s="144"/>
      <c r="H342" s="144"/>
      <c r="I342" s="191"/>
      <c r="J342" s="497">
        <v>1</v>
      </c>
      <c r="K342" s="364"/>
      <c r="L342" s="393"/>
      <c r="M342" s="447">
        <f t="shared" si="38"/>
        <v>1</v>
      </c>
      <c r="N342" s="416">
        <f t="shared" si="39"/>
        <v>5.0607287449392713E-4</v>
      </c>
      <c r="O342" s="418" t="s">
        <v>351</v>
      </c>
      <c r="P342" s="426">
        <v>739</v>
      </c>
      <c r="Q342" s="362"/>
    </row>
    <row r="343" spans="1:17" x14ac:dyDescent="0.25">
      <c r="A343" s="142"/>
      <c r="B343" s="143"/>
      <c r="C343" s="143"/>
      <c r="D343" s="143"/>
      <c r="E343" s="143"/>
      <c r="F343" s="143"/>
      <c r="G343" s="144"/>
      <c r="H343" s="144"/>
      <c r="I343" s="191"/>
      <c r="J343" s="497"/>
      <c r="K343" s="361"/>
      <c r="L343" s="392"/>
      <c r="M343" s="447">
        <f t="shared" si="38"/>
        <v>0</v>
      </c>
      <c r="N343" s="416">
        <f t="shared" si="39"/>
        <v>0</v>
      </c>
      <c r="O343" s="541" t="s">
        <v>108</v>
      </c>
      <c r="P343" s="426">
        <v>117</v>
      </c>
      <c r="Q343" s="362"/>
    </row>
    <row r="344" spans="1:17" x14ac:dyDescent="0.25">
      <c r="A344" s="142"/>
      <c r="B344" s="143"/>
      <c r="C344" s="143"/>
      <c r="D344" s="143"/>
      <c r="E344" s="143"/>
      <c r="F344" s="143"/>
      <c r="G344" s="144"/>
      <c r="H344" s="144"/>
      <c r="I344" s="191"/>
      <c r="J344" s="497"/>
      <c r="K344" s="361"/>
      <c r="L344" s="392"/>
      <c r="M344" s="447">
        <f t="shared" si="38"/>
        <v>0</v>
      </c>
      <c r="N344" s="416">
        <f t="shared" si="39"/>
        <v>0</v>
      </c>
      <c r="O344" s="418" t="s">
        <v>402</v>
      </c>
      <c r="P344" s="426">
        <v>319</v>
      </c>
      <c r="Q344" s="362"/>
    </row>
    <row r="345" spans="1:17" x14ac:dyDescent="0.25">
      <c r="A345" s="142"/>
      <c r="B345" s="143"/>
      <c r="C345" s="143"/>
      <c r="D345" s="143"/>
      <c r="E345" s="143"/>
      <c r="F345" s="143"/>
      <c r="G345" s="144"/>
      <c r="H345" s="144"/>
      <c r="I345" s="191"/>
      <c r="J345" s="497"/>
      <c r="K345" s="361"/>
      <c r="L345" s="392"/>
      <c r="M345" s="447">
        <f t="shared" si="38"/>
        <v>0</v>
      </c>
      <c r="N345" s="416">
        <f t="shared" si="39"/>
        <v>0</v>
      </c>
      <c r="O345" s="418" t="s">
        <v>256</v>
      </c>
      <c r="P345" s="426">
        <v>705</v>
      </c>
      <c r="Q345" s="362"/>
    </row>
    <row r="346" spans="1:17" x14ac:dyDescent="0.25">
      <c r="A346" s="142"/>
      <c r="B346" s="143"/>
      <c r="C346" s="143"/>
      <c r="D346" s="143"/>
      <c r="E346" s="143"/>
      <c r="F346" s="143"/>
      <c r="G346" s="144"/>
      <c r="H346" s="144"/>
      <c r="I346" s="191"/>
      <c r="J346" s="497">
        <v>5</v>
      </c>
      <c r="K346" s="361"/>
      <c r="L346" s="392"/>
      <c r="M346" s="447">
        <f t="shared" si="38"/>
        <v>5</v>
      </c>
      <c r="N346" s="416">
        <f t="shared" si="39"/>
        <v>2.5303643724696357E-3</v>
      </c>
      <c r="O346" s="418" t="s">
        <v>27</v>
      </c>
      <c r="P346" s="426">
        <v>58</v>
      </c>
      <c r="Q346" s="362"/>
    </row>
    <row r="347" spans="1:17" x14ac:dyDescent="0.25">
      <c r="A347" s="142"/>
      <c r="B347" s="143"/>
      <c r="C347" s="143"/>
      <c r="D347" s="143"/>
      <c r="E347" s="143"/>
      <c r="F347" s="143"/>
      <c r="G347" s="144"/>
      <c r="H347" s="144"/>
      <c r="I347" s="191"/>
      <c r="J347" s="497"/>
      <c r="K347" s="361"/>
      <c r="L347" s="392"/>
      <c r="M347" s="447">
        <f t="shared" si="38"/>
        <v>0</v>
      </c>
      <c r="N347" s="416">
        <f t="shared" si="39"/>
        <v>0</v>
      </c>
      <c r="O347" s="418" t="s">
        <v>200</v>
      </c>
      <c r="P347" s="426">
        <v>70</v>
      </c>
      <c r="Q347" s="362"/>
    </row>
    <row r="348" spans="1:17" x14ac:dyDescent="0.25">
      <c r="A348" s="142"/>
      <c r="B348" s="143"/>
      <c r="C348" s="143"/>
      <c r="D348" s="143"/>
      <c r="E348" s="143"/>
      <c r="F348" s="143"/>
      <c r="G348" s="144"/>
      <c r="H348" s="144"/>
      <c r="I348" s="191"/>
      <c r="J348" s="497"/>
      <c r="K348" s="378"/>
      <c r="L348" s="394"/>
      <c r="M348" s="447">
        <f t="shared" si="38"/>
        <v>0</v>
      </c>
      <c r="N348" s="416">
        <f t="shared" si="39"/>
        <v>0</v>
      </c>
      <c r="O348" s="418" t="s">
        <v>356</v>
      </c>
      <c r="P348" s="426">
        <v>265</v>
      </c>
      <c r="Q348" s="362"/>
    </row>
    <row r="349" spans="1:17" x14ac:dyDescent="0.25">
      <c r="A349" s="142"/>
      <c r="B349" s="143"/>
      <c r="C349" s="143"/>
      <c r="D349" s="143" t="s">
        <v>100</v>
      </c>
      <c r="E349" s="143"/>
      <c r="F349" s="143"/>
      <c r="G349" s="144"/>
      <c r="H349" s="144"/>
      <c r="I349" s="191"/>
      <c r="J349" s="497"/>
      <c r="K349" s="361"/>
      <c r="L349" s="392"/>
      <c r="M349" s="447">
        <f t="shared" si="38"/>
        <v>0</v>
      </c>
      <c r="N349" s="416">
        <f t="shared" si="39"/>
        <v>0</v>
      </c>
      <c r="O349" s="418" t="s">
        <v>71</v>
      </c>
      <c r="P349" s="426">
        <v>388</v>
      </c>
      <c r="Q349" s="362"/>
    </row>
    <row r="350" spans="1:17" x14ac:dyDescent="0.25">
      <c r="A350" s="142"/>
      <c r="B350" s="143"/>
      <c r="C350" s="143"/>
      <c r="D350" s="143"/>
      <c r="E350" s="143"/>
      <c r="F350" s="143"/>
      <c r="G350" s="144"/>
      <c r="H350" s="144"/>
      <c r="I350" s="191"/>
      <c r="J350" s="497"/>
      <c r="K350" s="361"/>
      <c r="L350" s="392"/>
      <c r="M350" s="447">
        <f t="shared" si="38"/>
        <v>0</v>
      </c>
      <c r="N350" s="416">
        <f t="shared" si="39"/>
        <v>0</v>
      </c>
      <c r="O350" s="418" t="s">
        <v>163</v>
      </c>
      <c r="P350" s="426">
        <v>679</v>
      </c>
      <c r="Q350" s="362"/>
    </row>
    <row r="351" spans="1:17" x14ac:dyDescent="0.25">
      <c r="A351" s="142"/>
      <c r="B351" s="143"/>
      <c r="C351" s="143"/>
      <c r="D351" s="143"/>
      <c r="E351" s="143"/>
      <c r="F351" s="143"/>
      <c r="G351" s="144"/>
      <c r="H351" s="144"/>
      <c r="I351" s="191"/>
      <c r="J351" s="487"/>
      <c r="K351" s="361"/>
      <c r="L351" s="392"/>
      <c r="M351" s="447">
        <f t="shared" si="38"/>
        <v>0</v>
      </c>
      <c r="N351" s="416">
        <f t="shared" si="39"/>
        <v>0</v>
      </c>
      <c r="O351" s="418" t="s">
        <v>85</v>
      </c>
      <c r="P351" s="426">
        <v>43</v>
      </c>
      <c r="Q351" s="362"/>
    </row>
    <row r="352" spans="1:17" x14ac:dyDescent="0.25">
      <c r="A352" s="142"/>
      <c r="B352" s="143"/>
      <c r="C352" s="143"/>
      <c r="D352" s="143"/>
      <c r="E352" s="143"/>
      <c r="F352" s="143"/>
      <c r="G352" s="144"/>
      <c r="H352" s="144"/>
      <c r="I352" s="191"/>
      <c r="J352" s="487">
        <v>1</v>
      </c>
      <c r="K352" s="361"/>
      <c r="L352" s="392"/>
      <c r="M352" s="447">
        <f t="shared" si="38"/>
        <v>1</v>
      </c>
      <c r="N352" s="416">
        <f t="shared" si="39"/>
        <v>5.0607287449392713E-4</v>
      </c>
      <c r="O352" s="542" t="s">
        <v>80</v>
      </c>
      <c r="P352" s="422">
        <v>46</v>
      </c>
      <c r="Q352" s="362"/>
    </row>
    <row r="353" spans="1:17" ht="15.75" thickBot="1" x14ac:dyDescent="0.3">
      <c r="A353" s="142"/>
      <c r="B353" s="143"/>
      <c r="C353" s="143"/>
      <c r="D353" s="143"/>
      <c r="E353" s="143"/>
      <c r="F353" s="143"/>
      <c r="G353" s="144"/>
      <c r="H353" s="144"/>
      <c r="I353" s="191"/>
      <c r="J353" s="495"/>
      <c r="K353" s="363"/>
      <c r="L353" s="392"/>
      <c r="M353" s="447">
        <f t="shared" si="38"/>
        <v>0</v>
      </c>
      <c r="N353" s="453">
        <f>M353/$E$331</f>
        <v>0</v>
      </c>
      <c r="O353" s="420" t="s">
        <v>277</v>
      </c>
      <c r="P353" s="428">
        <v>65</v>
      </c>
      <c r="Q353" s="362"/>
    </row>
    <row r="354" spans="1:17" ht="15.75" thickBot="1" x14ac:dyDescent="0.3">
      <c r="A354" s="142"/>
      <c r="B354" s="143"/>
      <c r="C354" s="143"/>
      <c r="D354" s="143"/>
      <c r="E354" s="143"/>
      <c r="F354" s="143"/>
      <c r="G354" s="144"/>
      <c r="H354" s="144"/>
      <c r="I354" s="192"/>
      <c r="J354" s="367"/>
      <c r="K354" s="367"/>
      <c r="L354" s="368"/>
      <c r="M354" s="369"/>
      <c r="N354" s="369"/>
      <c r="O354" s="424" t="s">
        <v>251</v>
      </c>
      <c r="P354" s="375"/>
      <c r="Q354" s="362"/>
    </row>
    <row r="355" spans="1:17" x14ac:dyDescent="0.25">
      <c r="A355" s="142"/>
      <c r="B355" s="143"/>
      <c r="C355" s="143"/>
      <c r="D355" s="143"/>
      <c r="E355" s="143"/>
      <c r="F355" s="143"/>
      <c r="G355" s="144"/>
      <c r="H355" s="144"/>
      <c r="I355" s="191"/>
      <c r="J355" s="494">
        <v>12</v>
      </c>
      <c r="K355" s="494"/>
      <c r="L355" s="390"/>
      <c r="M355" s="498">
        <f>SUM(J355,L355)</f>
        <v>12</v>
      </c>
      <c r="N355" s="471">
        <f>M355/$E$331</f>
        <v>6.0728744939271256E-3</v>
      </c>
      <c r="O355" s="543" t="s">
        <v>91</v>
      </c>
      <c r="P355" s="443">
        <v>159</v>
      </c>
      <c r="Q355" s="439"/>
    </row>
    <row r="356" spans="1:17" x14ac:dyDescent="0.25">
      <c r="A356" s="142"/>
      <c r="B356" s="143"/>
      <c r="C356" s="143"/>
      <c r="D356" s="143"/>
      <c r="E356" s="143"/>
      <c r="F356" s="143"/>
      <c r="G356" s="144"/>
      <c r="H356" s="144"/>
      <c r="I356" s="191"/>
      <c r="J356" s="487">
        <v>6</v>
      </c>
      <c r="K356" s="487"/>
      <c r="L356" s="392"/>
      <c r="M356" s="499">
        <f>SUM(J356,L356)</f>
        <v>6</v>
      </c>
      <c r="N356" s="472">
        <f>M356/$E$331</f>
        <v>3.0364372469635628E-3</v>
      </c>
      <c r="O356" s="544" t="s">
        <v>9</v>
      </c>
      <c r="P356" s="444">
        <v>331</v>
      </c>
      <c r="Q356" s="439"/>
    </row>
    <row r="357" spans="1:17" x14ac:dyDescent="0.25">
      <c r="A357" s="142"/>
      <c r="B357" s="143"/>
      <c r="C357" s="143"/>
      <c r="D357" s="143"/>
      <c r="E357" s="143"/>
      <c r="F357" s="143"/>
      <c r="G357" s="144"/>
      <c r="H357" s="144"/>
      <c r="I357" s="191"/>
      <c r="J357" s="487">
        <v>4</v>
      </c>
      <c r="K357" s="487"/>
      <c r="L357" s="392">
        <v>2</v>
      </c>
      <c r="M357" s="447">
        <f t="shared" ref="M357" si="40">SUM(J357,L357)</f>
        <v>6</v>
      </c>
      <c r="N357" s="472">
        <f t="shared" ref="N357:N365" si="41">M357/$E$331</f>
        <v>3.0364372469635628E-3</v>
      </c>
      <c r="O357" s="545" t="s">
        <v>94</v>
      </c>
      <c r="P357" s="422">
        <v>265</v>
      </c>
      <c r="Q357" s="439"/>
    </row>
    <row r="358" spans="1:17" x14ac:dyDescent="0.25">
      <c r="A358" s="142"/>
      <c r="B358" s="143"/>
      <c r="C358" s="143"/>
      <c r="D358" s="143"/>
      <c r="E358" s="143"/>
      <c r="F358" s="143"/>
      <c r="G358" s="144"/>
      <c r="H358" s="144"/>
      <c r="I358" s="191"/>
      <c r="J358" s="487">
        <v>6</v>
      </c>
      <c r="K358" s="487"/>
      <c r="L358" s="392"/>
      <c r="M358" s="499">
        <f>SUM(J358,L358)</f>
        <v>6</v>
      </c>
      <c r="N358" s="472">
        <f t="shared" si="41"/>
        <v>3.0364372469635628E-3</v>
      </c>
      <c r="O358" s="544" t="s">
        <v>92</v>
      </c>
      <c r="P358" s="444">
        <v>159</v>
      </c>
      <c r="Q358" s="460" t="s">
        <v>407</v>
      </c>
    </row>
    <row r="359" spans="1:17" x14ac:dyDescent="0.25">
      <c r="A359" s="142"/>
      <c r="B359" s="143"/>
      <c r="C359" s="143"/>
      <c r="D359" s="143"/>
      <c r="E359" s="143"/>
      <c r="F359" s="143"/>
      <c r="G359" s="144"/>
      <c r="H359" s="144"/>
      <c r="I359" s="191"/>
      <c r="J359" s="487"/>
      <c r="K359" s="487"/>
      <c r="L359" s="392"/>
      <c r="M359" s="447">
        <v>0</v>
      </c>
      <c r="N359" s="472">
        <f t="shared" si="41"/>
        <v>0</v>
      </c>
      <c r="O359" s="546" t="s">
        <v>374</v>
      </c>
      <c r="P359" s="444">
        <v>73</v>
      </c>
      <c r="Q359" s="460"/>
    </row>
    <row r="360" spans="1:17" x14ac:dyDescent="0.25">
      <c r="A360" s="142"/>
      <c r="B360" s="143"/>
      <c r="C360" s="143"/>
      <c r="D360" s="143"/>
      <c r="E360" s="143"/>
      <c r="F360" s="143"/>
      <c r="G360" s="144"/>
      <c r="H360" s="144"/>
      <c r="I360" s="191"/>
      <c r="J360" s="487">
        <v>2</v>
      </c>
      <c r="K360" s="487"/>
      <c r="L360" s="392">
        <v>1</v>
      </c>
      <c r="M360" s="447">
        <v>0</v>
      </c>
      <c r="N360" s="472">
        <f t="shared" si="41"/>
        <v>0</v>
      </c>
      <c r="O360" s="546" t="s">
        <v>35</v>
      </c>
      <c r="P360" s="444">
        <v>65</v>
      </c>
      <c r="Q360" s="460"/>
    </row>
    <row r="361" spans="1:17" x14ac:dyDescent="0.25">
      <c r="A361" s="142"/>
      <c r="B361" s="143"/>
      <c r="C361" s="143"/>
      <c r="D361" s="143"/>
      <c r="E361" s="143"/>
      <c r="F361" s="143"/>
      <c r="G361" s="144"/>
      <c r="H361" s="144"/>
      <c r="I361" s="191"/>
      <c r="J361" s="487"/>
      <c r="K361" s="487"/>
      <c r="L361" s="392"/>
      <c r="M361" s="447">
        <f t="shared" ref="M361:M364" si="42">SUM(J361,L361)</f>
        <v>0</v>
      </c>
      <c r="N361" s="472">
        <f t="shared" si="41"/>
        <v>0</v>
      </c>
      <c r="O361" s="545" t="s">
        <v>80</v>
      </c>
      <c r="P361" s="422">
        <v>46</v>
      </c>
      <c r="Q361" s="439"/>
    </row>
    <row r="362" spans="1:17" x14ac:dyDescent="0.25">
      <c r="A362" s="142"/>
      <c r="B362" s="143"/>
      <c r="C362" s="143"/>
      <c r="D362" s="143"/>
      <c r="E362" s="143"/>
      <c r="F362" s="143"/>
      <c r="G362" s="144"/>
      <c r="H362" s="144"/>
      <c r="I362" s="191"/>
      <c r="J362" s="487">
        <v>32</v>
      </c>
      <c r="K362" s="487"/>
      <c r="L362" s="392"/>
      <c r="M362" s="447">
        <f t="shared" si="42"/>
        <v>32</v>
      </c>
      <c r="N362" s="472">
        <f t="shared" si="41"/>
        <v>1.6194331983805668E-2</v>
      </c>
      <c r="O362" s="544" t="s">
        <v>93</v>
      </c>
      <c r="P362" s="444">
        <v>159</v>
      </c>
      <c r="Q362" s="460" t="s">
        <v>406</v>
      </c>
    </row>
    <row r="363" spans="1:17" x14ac:dyDescent="0.25">
      <c r="A363" s="142"/>
      <c r="B363" s="143"/>
      <c r="C363" s="143"/>
      <c r="D363" s="143"/>
      <c r="E363" s="143"/>
      <c r="F363" s="143"/>
      <c r="G363" s="144"/>
      <c r="H363" s="144"/>
      <c r="I363" s="191"/>
      <c r="J363" s="487">
        <v>30</v>
      </c>
      <c r="K363" s="487"/>
      <c r="L363" s="392"/>
      <c r="M363" s="447">
        <f t="shared" si="42"/>
        <v>30</v>
      </c>
      <c r="N363" s="472">
        <f t="shared" si="41"/>
        <v>1.5182186234817813E-2</v>
      </c>
      <c r="O363" s="544" t="s">
        <v>90</v>
      </c>
      <c r="P363" s="444">
        <v>159</v>
      </c>
      <c r="Q363" s="439"/>
    </row>
    <row r="364" spans="1:17" x14ac:dyDescent="0.25">
      <c r="A364" s="142"/>
      <c r="B364" s="143"/>
      <c r="C364" s="143"/>
      <c r="D364" s="143"/>
      <c r="E364" s="143"/>
      <c r="F364" s="143"/>
      <c r="G364" s="144"/>
      <c r="H364" s="144"/>
      <c r="I364" s="191"/>
      <c r="J364" s="487">
        <v>12</v>
      </c>
      <c r="K364" s="487"/>
      <c r="L364" s="392">
        <v>1</v>
      </c>
      <c r="M364" s="447">
        <f t="shared" si="42"/>
        <v>13</v>
      </c>
      <c r="N364" s="472">
        <f t="shared" si="41"/>
        <v>6.5789473684210523E-3</v>
      </c>
      <c r="O364" s="547" t="s">
        <v>109</v>
      </c>
      <c r="P364" s="426">
        <v>624</v>
      </c>
      <c r="Q364" s="439"/>
    </row>
    <row r="365" spans="1:17" x14ac:dyDescent="0.25">
      <c r="A365" s="142"/>
      <c r="B365" s="143"/>
      <c r="C365" s="143"/>
      <c r="D365" s="143"/>
      <c r="E365" s="143"/>
      <c r="F365" s="143"/>
      <c r="G365" s="144"/>
      <c r="H365" s="144"/>
      <c r="I365" s="191"/>
      <c r="J365" s="487">
        <v>10</v>
      </c>
      <c r="K365" s="487"/>
      <c r="L365" s="392"/>
      <c r="M365" s="447">
        <v>0</v>
      </c>
      <c r="N365" s="472">
        <f t="shared" si="41"/>
        <v>0</v>
      </c>
      <c r="O365" s="547" t="s">
        <v>375</v>
      </c>
      <c r="P365" s="426">
        <v>159</v>
      </c>
      <c r="Q365" s="362" t="s">
        <v>380</v>
      </c>
    </row>
    <row r="366" spans="1:17" ht="15.75" thickBot="1" x14ac:dyDescent="0.3">
      <c r="A366" s="142"/>
      <c r="B366" s="143"/>
      <c r="C366" s="143"/>
      <c r="D366" s="143"/>
      <c r="E366" s="143"/>
      <c r="F366" s="143"/>
      <c r="G366" s="144"/>
      <c r="H366" s="144"/>
      <c r="I366" s="191"/>
      <c r="J366" s="495"/>
      <c r="K366" s="495"/>
      <c r="L366" s="393"/>
      <c r="M366" s="521">
        <v>0</v>
      </c>
      <c r="N366" s="522">
        <f>M366/$E$331</f>
        <v>0</v>
      </c>
      <c r="O366" s="548" t="s">
        <v>376</v>
      </c>
      <c r="P366" s="428">
        <v>159</v>
      </c>
      <c r="Q366" s="362" t="s">
        <v>405</v>
      </c>
    </row>
    <row r="367" spans="1:17" ht="15.75" thickBot="1" x14ac:dyDescent="0.3">
      <c r="A367" s="142"/>
      <c r="B367" s="143"/>
      <c r="C367" s="143"/>
      <c r="D367" s="143"/>
      <c r="E367" s="143"/>
      <c r="F367" s="143"/>
      <c r="G367" s="144"/>
      <c r="H367" s="144"/>
      <c r="I367" s="191"/>
      <c r="J367" s="366"/>
      <c r="K367" s="520"/>
      <c r="L367" s="523"/>
      <c r="M367" s="525">
        <f>SUM(J367,L367)</f>
        <v>0</v>
      </c>
      <c r="N367" s="524">
        <f t="shared" ref="N355:N367" si="43">M367/$E$3</f>
        <v>0</v>
      </c>
      <c r="O367" s="549" t="s">
        <v>181</v>
      </c>
      <c r="P367" s="459">
        <v>159</v>
      </c>
      <c r="Q367" s="439"/>
    </row>
    <row r="368" spans="1:17" ht="15.75" thickBot="1" x14ac:dyDescent="0.3">
      <c r="A368" s="142"/>
      <c r="B368" s="143"/>
      <c r="C368" s="143"/>
      <c r="D368" s="143"/>
      <c r="E368" s="143"/>
      <c r="F368" s="143"/>
      <c r="G368" s="144"/>
      <c r="H368" s="144"/>
      <c r="I368" s="192"/>
      <c r="J368" s="372"/>
      <c r="K368" s="372"/>
      <c r="L368" s="373"/>
      <c r="M368" s="518"/>
      <c r="N368" s="374"/>
      <c r="O368" s="526" t="s">
        <v>257</v>
      </c>
      <c r="P368" s="375"/>
      <c r="Q368" s="362"/>
    </row>
    <row r="369" spans="1:17" x14ac:dyDescent="0.25">
      <c r="A369" s="142"/>
      <c r="B369" s="143"/>
      <c r="C369" s="143"/>
      <c r="D369" s="143"/>
      <c r="E369" s="143"/>
      <c r="F369" s="143"/>
      <c r="G369" s="144"/>
      <c r="H369" s="144"/>
      <c r="I369" s="192"/>
      <c r="J369" s="527">
        <v>2</v>
      </c>
      <c r="K369" s="528"/>
      <c r="L369" s="529"/>
      <c r="M369" s="502">
        <f>SUM(J369,L369)</f>
        <v>2</v>
      </c>
      <c r="N369" s="462">
        <f>M369/$E$331</f>
        <v>1.0121457489878543E-3</v>
      </c>
      <c r="O369" s="550" t="s">
        <v>71</v>
      </c>
      <c r="P369" s="421">
        <v>388</v>
      </c>
      <c r="Q369" s="362"/>
    </row>
    <row r="370" spans="1:17" x14ac:dyDescent="0.25">
      <c r="A370" s="142"/>
      <c r="B370" s="143"/>
      <c r="C370" s="143"/>
      <c r="D370" s="143"/>
      <c r="E370" s="143"/>
      <c r="F370" s="143"/>
      <c r="G370" s="144"/>
      <c r="H370" s="144"/>
      <c r="I370" s="192"/>
      <c r="J370" s="370">
        <v>1</v>
      </c>
      <c r="K370" s="387"/>
      <c r="L370" s="516"/>
      <c r="M370" s="503">
        <f t="shared" ref="M370:M389" si="44">SUM(J370,L370)</f>
        <v>1</v>
      </c>
      <c r="N370" s="501">
        <f>M370/$E$331</f>
        <v>5.0607287449392713E-4</v>
      </c>
      <c r="O370" s="542" t="s">
        <v>174</v>
      </c>
      <c r="P370" s="422">
        <v>734</v>
      </c>
      <c r="Q370" s="362"/>
    </row>
    <row r="371" spans="1:17" x14ac:dyDescent="0.25">
      <c r="A371" s="142"/>
      <c r="B371" s="143"/>
      <c r="C371" s="143"/>
      <c r="D371" s="143"/>
      <c r="E371" s="143"/>
      <c r="F371" s="143"/>
      <c r="G371" s="144"/>
      <c r="H371" s="144"/>
      <c r="I371" s="192"/>
      <c r="J371" s="370">
        <v>9</v>
      </c>
      <c r="K371" s="387"/>
      <c r="L371" s="516"/>
      <c r="M371" s="503">
        <f t="shared" si="44"/>
        <v>9</v>
      </c>
      <c r="N371" s="501">
        <f t="shared" ref="N371:N388" si="45">M371/$E$331</f>
        <v>4.5546558704453437E-3</v>
      </c>
      <c r="O371" s="542" t="s">
        <v>117</v>
      </c>
      <c r="P371" s="422">
        <v>735</v>
      </c>
      <c r="Q371" s="362"/>
    </row>
    <row r="372" spans="1:17" x14ac:dyDescent="0.25">
      <c r="A372" s="142"/>
      <c r="B372" s="143"/>
      <c r="C372" s="143"/>
      <c r="D372" s="143"/>
      <c r="E372" s="143"/>
      <c r="F372" s="143"/>
      <c r="G372" s="144"/>
      <c r="H372" s="144"/>
      <c r="I372" s="192"/>
      <c r="J372" s="370"/>
      <c r="K372" s="387"/>
      <c r="L372" s="516"/>
      <c r="M372" s="503">
        <f t="shared" si="44"/>
        <v>0</v>
      </c>
      <c r="N372" s="501">
        <f t="shared" si="45"/>
        <v>0</v>
      </c>
      <c r="O372" s="542" t="s">
        <v>346</v>
      </c>
      <c r="P372" s="422">
        <v>43</v>
      </c>
      <c r="Q372" s="362"/>
    </row>
    <row r="373" spans="1:17" x14ac:dyDescent="0.25">
      <c r="A373" s="142"/>
      <c r="B373" s="143"/>
      <c r="C373" s="143"/>
      <c r="D373" s="143"/>
      <c r="E373" s="143"/>
      <c r="F373" s="143"/>
      <c r="G373" s="144"/>
      <c r="H373" s="144"/>
      <c r="I373" s="145"/>
      <c r="J373" s="370"/>
      <c r="K373" s="387"/>
      <c r="L373" s="516"/>
      <c r="M373" s="503">
        <f t="shared" si="44"/>
        <v>0</v>
      </c>
      <c r="N373" s="501">
        <f t="shared" si="45"/>
        <v>0</v>
      </c>
      <c r="O373" s="542" t="s">
        <v>177</v>
      </c>
      <c r="P373" s="422">
        <v>736</v>
      </c>
      <c r="Q373" s="362"/>
    </row>
    <row r="374" spans="1:17" x14ac:dyDescent="0.25">
      <c r="A374" s="142"/>
      <c r="B374" s="143"/>
      <c r="C374" s="143"/>
      <c r="D374" s="143"/>
      <c r="E374" s="143"/>
      <c r="F374" s="143"/>
      <c r="G374" s="144"/>
      <c r="H374" s="144"/>
      <c r="I374" s="145"/>
      <c r="J374" s="379"/>
      <c r="K374" s="387"/>
      <c r="L374" s="516"/>
      <c r="M374" s="503">
        <f t="shared" si="44"/>
        <v>0</v>
      </c>
      <c r="N374" s="501">
        <f t="shared" si="45"/>
        <v>0</v>
      </c>
      <c r="O374" s="542" t="s">
        <v>93</v>
      </c>
      <c r="P374" s="422">
        <v>159</v>
      </c>
      <c r="Q374" s="362"/>
    </row>
    <row r="375" spans="1:17" x14ac:dyDescent="0.25">
      <c r="A375" s="142"/>
      <c r="B375" s="143"/>
      <c r="C375" s="143"/>
      <c r="D375" s="143"/>
      <c r="E375" s="143"/>
      <c r="F375" s="143"/>
      <c r="G375" s="144"/>
      <c r="H375" s="144"/>
      <c r="I375" s="145"/>
      <c r="J375" s="379">
        <v>39</v>
      </c>
      <c r="K375" s="387"/>
      <c r="L375" s="515"/>
      <c r="M375" s="503">
        <f t="shared" si="44"/>
        <v>39</v>
      </c>
      <c r="N375" s="501">
        <f t="shared" si="45"/>
        <v>1.9736842105263157E-2</v>
      </c>
      <c r="O375" s="541" t="s">
        <v>108</v>
      </c>
      <c r="P375" s="422">
        <v>117</v>
      </c>
      <c r="Q375" s="362"/>
    </row>
    <row r="376" spans="1:17" x14ac:dyDescent="0.25">
      <c r="A376" s="142"/>
      <c r="B376" s="143"/>
      <c r="C376" s="143"/>
      <c r="D376" s="143"/>
      <c r="E376" s="143"/>
      <c r="F376" s="143"/>
      <c r="G376" s="144"/>
      <c r="H376" s="144"/>
      <c r="I376" s="145"/>
      <c r="J376" s="379">
        <v>5</v>
      </c>
      <c r="K376" s="387"/>
      <c r="L376" s="515"/>
      <c r="M376" s="503">
        <f t="shared" si="44"/>
        <v>5</v>
      </c>
      <c r="N376" s="501">
        <f t="shared" si="45"/>
        <v>2.5303643724696357E-3</v>
      </c>
      <c r="O376" s="542" t="s">
        <v>118</v>
      </c>
      <c r="P376" s="422">
        <v>665</v>
      </c>
      <c r="Q376" s="362"/>
    </row>
    <row r="377" spans="1:17" x14ac:dyDescent="0.25">
      <c r="A377" s="142"/>
      <c r="B377" s="143"/>
      <c r="C377" s="143"/>
      <c r="D377" s="143"/>
      <c r="E377" s="143"/>
      <c r="F377" s="143"/>
      <c r="G377" s="144"/>
      <c r="H377" s="144"/>
      <c r="I377" s="145"/>
      <c r="J377" s="379"/>
      <c r="K377" s="387"/>
      <c r="L377" s="516"/>
      <c r="M377" s="503">
        <f t="shared" si="44"/>
        <v>0</v>
      </c>
      <c r="N377" s="501">
        <f t="shared" si="45"/>
        <v>0</v>
      </c>
      <c r="O377" s="542" t="s">
        <v>345</v>
      </c>
      <c r="P377" s="422">
        <v>65</v>
      </c>
      <c r="Q377" s="362"/>
    </row>
    <row r="378" spans="1:17" x14ac:dyDescent="0.25">
      <c r="A378" s="142"/>
      <c r="B378" s="143"/>
      <c r="C378" s="143"/>
      <c r="D378" s="143"/>
      <c r="E378" s="143"/>
      <c r="F378" s="143"/>
      <c r="G378" s="144"/>
      <c r="H378" s="144"/>
      <c r="I378" s="145"/>
      <c r="J378" s="379"/>
      <c r="K378" s="387"/>
      <c r="L378" s="516"/>
      <c r="M378" s="503">
        <f t="shared" si="44"/>
        <v>0</v>
      </c>
      <c r="N378" s="501">
        <f t="shared" si="45"/>
        <v>0</v>
      </c>
      <c r="O378" s="542" t="s">
        <v>353</v>
      </c>
      <c r="P378" s="422">
        <v>65</v>
      </c>
      <c r="Q378" s="362"/>
    </row>
    <row r="379" spans="1:17" x14ac:dyDescent="0.25">
      <c r="A379" s="142"/>
      <c r="B379" s="143"/>
      <c r="C379" s="143"/>
      <c r="D379" s="143"/>
      <c r="E379" s="143"/>
      <c r="F379" s="143"/>
      <c r="G379" s="144"/>
      <c r="H379" s="144"/>
      <c r="I379" s="145"/>
      <c r="J379" s="379">
        <v>6</v>
      </c>
      <c r="K379" s="387"/>
      <c r="L379" s="516"/>
      <c r="M379" s="503">
        <f t="shared" si="44"/>
        <v>6</v>
      </c>
      <c r="N379" s="501">
        <f t="shared" si="45"/>
        <v>3.0364372469635628E-3</v>
      </c>
      <c r="O379" s="542" t="s">
        <v>26</v>
      </c>
      <c r="P379" s="422">
        <v>164</v>
      </c>
      <c r="Q379" s="362"/>
    </row>
    <row r="380" spans="1:17" x14ac:dyDescent="0.25">
      <c r="A380" s="142"/>
      <c r="B380" s="143"/>
      <c r="C380" s="143"/>
      <c r="D380" s="143"/>
      <c r="E380" s="143"/>
      <c r="F380" s="143"/>
      <c r="G380" s="144"/>
      <c r="H380" s="144"/>
      <c r="I380" s="145"/>
      <c r="J380" s="379">
        <v>1</v>
      </c>
      <c r="K380" s="387"/>
      <c r="L380" s="516"/>
      <c r="M380" s="503">
        <f t="shared" si="44"/>
        <v>1</v>
      </c>
      <c r="N380" s="501">
        <f t="shared" si="45"/>
        <v>5.0607287449392713E-4</v>
      </c>
      <c r="O380" s="542" t="s">
        <v>89</v>
      </c>
      <c r="P380" s="422">
        <v>65</v>
      </c>
      <c r="Q380" s="362"/>
    </row>
    <row r="381" spans="1:17" x14ac:dyDescent="0.25">
      <c r="A381" s="142"/>
      <c r="B381" s="143"/>
      <c r="C381" s="143"/>
      <c r="D381" s="143"/>
      <c r="E381" s="143"/>
      <c r="F381" s="143"/>
      <c r="G381" s="144"/>
      <c r="H381" s="144"/>
      <c r="I381" s="145"/>
      <c r="J381" s="379">
        <v>9</v>
      </c>
      <c r="K381" s="387"/>
      <c r="L381" s="516"/>
      <c r="M381" s="503">
        <f t="shared" si="44"/>
        <v>9</v>
      </c>
      <c r="N381" s="501">
        <f t="shared" si="45"/>
        <v>4.5546558704453437E-3</v>
      </c>
      <c r="O381" s="542" t="s">
        <v>381</v>
      </c>
      <c r="P381" s="422">
        <v>65</v>
      </c>
      <c r="Q381" s="362"/>
    </row>
    <row r="382" spans="1:17" x14ac:dyDescent="0.25">
      <c r="A382" s="142"/>
      <c r="B382" s="143"/>
      <c r="C382" s="143"/>
      <c r="D382" s="143"/>
      <c r="E382" s="143"/>
      <c r="F382" s="143"/>
      <c r="G382" s="144"/>
      <c r="H382" s="144"/>
      <c r="I382" s="145"/>
      <c r="J382" s="379">
        <v>2</v>
      </c>
      <c r="K382" s="387"/>
      <c r="L382" s="516"/>
      <c r="M382" s="503">
        <f t="shared" si="44"/>
        <v>2</v>
      </c>
      <c r="N382" s="501">
        <f t="shared" si="45"/>
        <v>1.0121457489878543E-3</v>
      </c>
      <c r="O382" s="542" t="s">
        <v>408</v>
      </c>
      <c r="P382" s="422">
        <v>159</v>
      </c>
      <c r="Q382" s="362"/>
    </row>
    <row r="383" spans="1:17" x14ac:dyDescent="0.25">
      <c r="A383" s="142"/>
      <c r="B383" s="143"/>
      <c r="C383" s="143"/>
      <c r="D383" s="143"/>
      <c r="E383" s="143"/>
      <c r="F383" s="143"/>
      <c r="G383" s="144"/>
      <c r="H383" s="144"/>
      <c r="I383" s="145"/>
      <c r="J383" s="379"/>
      <c r="K383" s="387"/>
      <c r="L383" s="516"/>
      <c r="M383" s="503">
        <f t="shared" si="44"/>
        <v>0</v>
      </c>
      <c r="N383" s="501">
        <f t="shared" si="45"/>
        <v>0</v>
      </c>
      <c r="O383" s="542" t="s">
        <v>355</v>
      </c>
      <c r="P383" s="422">
        <v>739</v>
      </c>
      <c r="Q383" s="362"/>
    </row>
    <row r="384" spans="1:17" x14ac:dyDescent="0.25">
      <c r="A384" s="142"/>
      <c r="B384" s="143"/>
      <c r="C384" s="143"/>
      <c r="D384" s="143"/>
      <c r="E384" s="143"/>
      <c r="F384" s="143"/>
      <c r="G384" s="144"/>
      <c r="H384" s="144"/>
      <c r="I384" s="145"/>
      <c r="J384" s="379"/>
      <c r="K384" s="387"/>
      <c r="L384" s="516"/>
      <c r="M384" s="503">
        <f t="shared" si="44"/>
        <v>0</v>
      </c>
      <c r="N384" s="501">
        <f t="shared" si="45"/>
        <v>0</v>
      </c>
      <c r="O384" s="542" t="s">
        <v>35</v>
      </c>
      <c r="P384" s="422">
        <v>65</v>
      </c>
      <c r="Q384" s="362"/>
    </row>
    <row r="385" spans="1:17" x14ac:dyDescent="0.25">
      <c r="A385" s="142"/>
      <c r="B385" s="143"/>
      <c r="C385" s="143"/>
      <c r="D385" s="143"/>
      <c r="E385" s="143"/>
      <c r="F385" s="143"/>
      <c r="G385" s="144"/>
      <c r="H385" s="144"/>
      <c r="I385" s="145"/>
      <c r="J385" s="379">
        <v>2</v>
      </c>
      <c r="K385" s="387"/>
      <c r="L385" s="516"/>
      <c r="M385" s="503">
        <f t="shared" si="44"/>
        <v>2</v>
      </c>
      <c r="N385" s="501">
        <f t="shared" si="45"/>
        <v>1.0121457489878543E-3</v>
      </c>
      <c r="O385" s="542" t="s">
        <v>409</v>
      </c>
      <c r="P385" s="422">
        <v>65</v>
      </c>
      <c r="Q385" s="362"/>
    </row>
    <row r="386" spans="1:17" x14ac:dyDescent="0.25">
      <c r="A386" s="142"/>
      <c r="B386" s="143"/>
      <c r="C386" s="143"/>
      <c r="D386" s="143"/>
      <c r="E386" s="143"/>
      <c r="F386" s="143"/>
      <c r="G386" s="144"/>
      <c r="H386" s="144"/>
      <c r="I386" s="145"/>
      <c r="J386" s="379">
        <v>1</v>
      </c>
      <c r="K386" s="387"/>
      <c r="L386" s="516"/>
      <c r="M386" s="503">
        <f t="shared" si="44"/>
        <v>1</v>
      </c>
      <c r="N386" s="501">
        <f t="shared" si="45"/>
        <v>5.0607287449392713E-4</v>
      </c>
      <c r="O386" s="542" t="s">
        <v>360</v>
      </c>
      <c r="P386" s="422">
        <v>639</v>
      </c>
      <c r="Q386" s="362"/>
    </row>
    <row r="387" spans="1:17" x14ac:dyDescent="0.25">
      <c r="A387" s="142"/>
      <c r="B387" s="143"/>
      <c r="C387" s="143"/>
      <c r="D387" s="143"/>
      <c r="E387" s="143"/>
      <c r="F387" s="143"/>
      <c r="G387" s="144"/>
      <c r="H387" s="144"/>
      <c r="I387" s="145"/>
      <c r="J387" s="370">
        <v>40</v>
      </c>
      <c r="K387" s="387"/>
      <c r="L387" s="516"/>
      <c r="M387" s="503">
        <f t="shared" si="44"/>
        <v>40</v>
      </c>
      <c r="N387" s="501">
        <f t="shared" si="45"/>
        <v>2.0242914979757085E-2</v>
      </c>
      <c r="O387" s="542" t="s">
        <v>341</v>
      </c>
      <c r="P387" s="422">
        <v>639</v>
      </c>
      <c r="Q387" s="362"/>
    </row>
    <row r="388" spans="1:17" x14ac:dyDescent="0.25">
      <c r="A388" s="142"/>
      <c r="B388" s="143"/>
      <c r="C388" s="143"/>
      <c r="D388" s="143"/>
      <c r="E388" s="143"/>
      <c r="F388" s="143"/>
      <c r="G388" s="144"/>
      <c r="H388" s="144"/>
      <c r="I388" s="145"/>
      <c r="J388" s="370">
        <v>82</v>
      </c>
      <c r="K388" s="387"/>
      <c r="L388" s="516"/>
      <c r="M388" s="503">
        <f t="shared" si="44"/>
        <v>82</v>
      </c>
      <c r="N388" s="501">
        <f t="shared" si="45"/>
        <v>4.1497975708502027E-2</v>
      </c>
      <c r="O388" s="542" t="s">
        <v>359</v>
      </c>
      <c r="P388" s="422">
        <v>639</v>
      </c>
      <c r="Q388" s="362"/>
    </row>
    <row r="389" spans="1:17" ht="15.75" thickBot="1" x14ac:dyDescent="0.3">
      <c r="A389" s="150"/>
      <c r="B389" s="151"/>
      <c r="C389" s="151"/>
      <c r="D389" s="151"/>
      <c r="E389" s="151"/>
      <c r="F389" s="151"/>
      <c r="G389" s="152"/>
      <c r="H389" s="152"/>
      <c r="I389" s="153"/>
      <c r="J389" s="380"/>
      <c r="K389" s="388"/>
      <c r="L389" s="517"/>
      <c r="M389" s="506">
        <f t="shared" si="44"/>
        <v>0</v>
      </c>
      <c r="N389" s="402">
        <f>M389/$E$331</f>
        <v>0</v>
      </c>
      <c r="O389" s="551" t="s">
        <v>85</v>
      </c>
      <c r="P389" s="423">
        <v>43</v>
      </c>
      <c r="Q389" s="381"/>
    </row>
    <row r="390" spans="1:17" ht="15.75" thickBot="1" x14ac:dyDescent="0.3">
      <c r="I390" s="154" t="s">
        <v>4</v>
      </c>
      <c r="J390" s="382">
        <f>SUM(J332:J389)</f>
        <v>382</v>
      </c>
      <c r="K390" s="382">
        <f>SUM(K332:K389)</f>
        <v>0</v>
      </c>
      <c r="L390" s="382">
        <f>SUM(L332:L389)</f>
        <v>4</v>
      </c>
      <c r="M390" s="403">
        <f>SUM(M332:M389)</f>
        <v>373</v>
      </c>
      <c r="N390" s="398">
        <f>M390/$E$331</f>
        <v>0.18876518218623481</v>
      </c>
      <c r="O390" s="383"/>
      <c r="P390" s="383"/>
      <c r="Q390" s="384"/>
    </row>
    <row r="392" spans="1:17" ht="15.75" thickBot="1" x14ac:dyDescent="0.3"/>
    <row r="393" spans="1:17" ht="26.25" thickBot="1" x14ac:dyDescent="0.3">
      <c r="A393" s="434" t="s">
        <v>249</v>
      </c>
      <c r="B393" s="434" t="s">
        <v>47</v>
      </c>
      <c r="C393" s="434" t="s">
        <v>243</v>
      </c>
      <c r="D393" s="434" t="s">
        <v>242</v>
      </c>
      <c r="E393" s="434" t="s">
        <v>246</v>
      </c>
      <c r="F393" s="434" t="s">
        <v>16</v>
      </c>
      <c r="G393" s="76" t="s">
        <v>1</v>
      </c>
      <c r="H393" s="76" t="s">
        <v>86</v>
      </c>
      <c r="I393" s="435" t="s">
        <v>23</v>
      </c>
      <c r="J393" s="436" t="s">
        <v>266</v>
      </c>
      <c r="K393" s="437" t="s">
        <v>247</v>
      </c>
      <c r="L393" s="434" t="s">
        <v>248</v>
      </c>
      <c r="M393" s="434" t="s">
        <v>4</v>
      </c>
      <c r="N393" s="434" t="s">
        <v>2</v>
      </c>
      <c r="O393" s="434" t="s">
        <v>20</v>
      </c>
      <c r="P393" s="434" t="s">
        <v>69</v>
      </c>
      <c r="Q393" s="438" t="s">
        <v>6</v>
      </c>
    </row>
    <row r="394" spans="1:17" ht="15.75" thickBot="1" x14ac:dyDescent="0.3">
      <c r="A394" s="406">
        <v>1518883</v>
      </c>
      <c r="B394" s="406" t="s">
        <v>244</v>
      </c>
      <c r="C394" s="406" t="s">
        <v>245</v>
      </c>
      <c r="D394" s="406">
        <v>384</v>
      </c>
      <c r="E394" s="406">
        <v>402</v>
      </c>
      <c r="F394" s="407">
        <v>366</v>
      </c>
      <c r="G394" s="408">
        <f>F394/E394</f>
        <v>0.91044776119402981</v>
      </c>
      <c r="H394" s="408">
        <f>$K$52/E394</f>
        <v>0.35323383084577115</v>
      </c>
      <c r="I394" s="409">
        <v>45374</v>
      </c>
      <c r="J394" s="410"/>
      <c r="K394" s="410"/>
      <c r="L394" s="411"/>
      <c r="M394" s="412"/>
      <c r="N394" s="413"/>
      <c r="O394" s="414" t="s">
        <v>250</v>
      </c>
      <c r="P394" s="414"/>
      <c r="Q394" s="358"/>
    </row>
    <row r="395" spans="1:17" x14ac:dyDescent="0.25">
      <c r="A395" s="139"/>
      <c r="B395" s="140"/>
      <c r="C395" s="140"/>
      <c r="D395" s="140" t="s">
        <v>442</v>
      </c>
      <c r="E395" s="140"/>
      <c r="F395" s="140"/>
      <c r="G395" s="141"/>
      <c r="H395" s="141"/>
      <c r="I395" s="190"/>
      <c r="J395" s="496"/>
      <c r="K395" s="359"/>
      <c r="L395" s="390"/>
      <c r="M395" s="446">
        <f t="shared" ref="M395:M416" si="46">SUM(J395,L395)</f>
        <v>0</v>
      </c>
      <c r="N395" s="415">
        <f>M395/$E$394</f>
        <v>0</v>
      </c>
      <c r="O395" s="417" t="s">
        <v>252</v>
      </c>
      <c r="P395" s="425">
        <v>211</v>
      </c>
      <c r="Q395" s="360" t="s">
        <v>187</v>
      </c>
    </row>
    <row r="396" spans="1:17" x14ac:dyDescent="0.25">
      <c r="A396" s="142"/>
      <c r="B396" s="143"/>
      <c r="C396" s="143"/>
      <c r="D396" s="143"/>
      <c r="E396" s="143"/>
      <c r="F396" s="143"/>
      <c r="G396" s="144"/>
      <c r="H396" s="144"/>
      <c r="I396" s="191"/>
      <c r="J396" s="497"/>
      <c r="K396" s="361"/>
      <c r="L396" s="391"/>
      <c r="M396" s="447">
        <f t="shared" si="46"/>
        <v>0</v>
      </c>
      <c r="N396" s="416">
        <f>M396/$E$394</f>
        <v>0</v>
      </c>
      <c r="O396" s="418" t="s">
        <v>87</v>
      </c>
      <c r="P396" s="426">
        <v>141</v>
      </c>
      <c r="Q396" s="362"/>
    </row>
    <row r="397" spans="1:17" x14ac:dyDescent="0.25">
      <c r="A397" s="142"/>
      <c r="B397" s="143"/>
      <c r="C397" s="143"/>
      <c r="D397" s="143"/>
      <c r="E397" s="143"/>
      <c r="F397" s="143"/>
      <c r="G397" s="144"/>
      <c r="H397" s="144"/>
      <c r="I397" s="191"/>
      <c r="J397" s="497">
        <v>1</v>
      </c>
      <c r="K397" s="363"/>
      <c r="L397" s="392"/>
      <c r="M397" s="447">
        <f t="shared" si="46"/>
        <v>1</v>
      </c>
      <c r="N397" s="416">
        <f t="shared" ref="N397:N415" si="47">M397/$E$394</f>
        <v>2.4875621890547263E-3</v>
      </c>
      <c r="O397" s="419" t="s">
        <v>7</v>
      </c>
      <c r="P397" s="427">
        <v>140</v>
      </c>
      <c r="Q397" s="362"/>
    </row>
    <row r="398" spans="1:17" x14ac:dyDescent="0.25">
      <c r="A398" s="142"/>
      <c r="B398" s="143"/>
      <c r="C398" s="143"/>
      <c r="D398" s="143"/>
      <c r="E398" s="143"/>
      <c r="F398" s="143"/>
      <c r="G398" s="144"/>
      <c r="H398" s="144"/>
      <c r="I398" s="191"/>
      <c r="J398" s="497"/>
      <c r="K398" s="361"/>
      <c r="L398" s="392"/>
      <c r="M398" s="447">
        <f t="shared" si="46"/>
        <v>0</v>
      </c>
      <c r="N398" s="416">
        <f t="shared" si="47"/>
        <v>0</v>
      </c>
      <c r="O398" s="419" t="s">
        <v>8</v>
      </c>
      <c r="P398" s="427">
        <v>210</v>
      </c>
      <c r="Q398" s="362"/>
    </row>
    <row r="399" spans="1:17" x14ac:dyDescent="0.25">
      <c r="A399" s="142"/>
      <c r="B399" s="143"/>
      <c r="C399" s="143"/>
      <c r="D399" s="143"/>
      <c r="E399" s="143"/>
      <c r="F399" s="143"/>
      <c r="G399" s="144"/>
      <c r="H399" s="144"/>
      <c r="I399" s="191"/>
      <c r="J399" s="497">
        <v>11</v>
      </c>
      <c r="K399" s="363"/>
      <c r="L399" s="392">
        <v>2</v>
      </c>
      <c r="M399" s="447">
        <f t="shared" si="46"/>
        <v>13</v>
      </c>
      <c r="N399" s="416">
        <f t="shared" si="47"/>
        <v>3.2338308457711441E-2</v>
      </c>
      <c r="O399" s="418" t="s">
        <v>15</v>
      </c>
      <c r="P399" s="426">
        <v>355</v>
      </c>
      <c r="Q399" s="362"/>
    </row>
    <row r="400" spans="1:17" x14ac:dyDescent="0.25">
      <c r="A400" s="142"/>
      <c r="B400" s="143"/>
      <c r="C400" s="143"/>
      <c r="D400" s="143"/>
      <c r="E400" s="143"/>
      <c r="F400" s="143"/>
      <c r="G400" s="144"/>
      <c r="H400" s="144"/>
      <c r="I400" s="191"/>
      <c r="J400" s="497"/>
      <c r="K400" s="363"/>
      <c r="L400" s="392"/>
      <c r="M400" s="447">
        <f t="shared" si="46"/>
        <v>0</v>
      </c>
      <c r="N400" s="416">
        <f t="shared" si="47"/>
        <v>0</v>
      </c>
      <c r="O400" s="418" t="s">
        <v>393</v>
      </c>
      <c r="P400" s="426">
        <v>738</v>
      </c>
      <c r="Q400" s="362"/>
    </row>
    <row r="401" spans="1:17" x14ac:dyDescent="0.25">
      <c r="A401" s="142"/>
      <c r="B401" s="143"/>
      <c r="C401" s="143"/>
      <c r="D401" s="143"/>
      <c r="E401" s="143"/>
      <c r="F401" s="143"/>
      <c r="G401" s="144"/>
      <c r="H401" s="144"/>
      <c r="I401" s="191"/>
      <c r="J401" s="497"/>
      <c r="K401" s="363"/>
      <c r="L401" s="392"/>
      <c r="M401" s="447">
        <f t="shared" si="46"/>
        <v>0</v>
      </c>
      <c r="N401" s="416">
        <f t="shared" si="47"/>
        <v>0</v>
      </c>
      <c r="O401" s="418" t="s">
        <v>88</v>
      </c>
      <c r="P401" s="426">
        <v>737</v>
      </c>
      <c r="Q401" s="362"/>
    </row>
    <row r="402" spans="1:17" x14ac:dyDescent="0.25">
      <c r="A402" s="142"/>
      <c r="B402" s="143"/>
      <c r="C402" s="143"/>
      <c r="D402" s="143"/>
      <c r="E402" s="143"/>
      <c r="F402" s="143"/>
      <c r="G402" s="144"/>
      <c r="H402" s="144"/>
      <c r="I402" s="191"/>
      <c r="J402" s="497"/>
      <c r="K402" s="361"/>
      <c r="L402" s="392">
        <v>1</v>
      </c>
      <c r="M402" s="447">
        <f t="shared" si="46"/>
        <v>1</v>
      </c>
      <c r="N402" s="416">
        <f t="shared" si="47"/>
        <v>2.4875621890547263E-3</v>
      </c>
      <c r="O402" s="418" t="s">
        <v>34</v>
      </c>
      <c r="P402" s="426">
        <v>176</v>
      </c>
      <c r="Q402" s="362"/>
    </row>
    <row r="403" spans="1:17" x14ac:dyDescent="0.25">
      <c r="A403" s="142"/>
      <c r="B403" s="143"/>
      <c r="C403" s="143"/>
      <c r="D403" s="143"/>
      <c r="E403" s="143"/>
      <c r="F403" s="143"/>
      <c r="G403" s="144"/>
      <c r="H403" s="144"/>
      <c r="I403" s="191"/>
      <c r="J403" s="497"/>
      <c r="K403" s="363"/>
      <c r="L403" s="392"/>
      <c r="M403" s="447">
        <f t="shared" si="46"/>
        <v>0</v>
      </c>
      <c r="N403" s="416">
        <f t="shared" si="47"/>
        <v>0</v>
      </c>
      <c r="O403" s="418" t="s">
        <v>3</v>
      </c>
      <c r="P403" s="426">
        <v>44</v>
      </c>
      <c r="Q403" s="362"/>
    </row>
    <row r="404" spans="1:17" x14ac:dyDescent="0.25">
      <c r="A404" s="142"/>
      <c r="B404" s="143"/>
      <c r="C404" s="143"/>
      <c r="D404" s="143"/>
      <c r="E404" s="143"/>
      <c r="F404" s="143"/>
      <c r="G404" s="144"/>
      <c r="H404" s="144"/>
      <c r="I404" s="191"/>
      <c r="J404" s="497"/>
      <c r="K404" s="363"/>
      <c r="L404" s="392"/>
      <c r="M404" s="447">
        <f t="shared" si="46"/>
        <v>0</v>
      </c>
      <c r="N404" s="416">
        <f t="shared" si="47"/>
        <v>0</v>
      </c>
      <c r="O404" s="418" t="s">
        <v>19</v>
      </c>
      <c r="P404" s="426">
        <v>119</v>
      </c>
      <c r="Q404" s="362"/>
    </row>
    <row r="405" spans="1:17" x14ac:dyDescent="0.25">
      <c r="A405" s="142"/>
      <c r="B405" s="143"/>
      <c r="C405" s="143"/>
      <c r="D405" s="143"/>
      <c r="E405" s="143"/>
      <c r="F405" s="143"/>
      <c r="G405" s="144"/>
      <c r="H405" s="144"/>
      <c r="I405" s="191"/>
      <c r="J405" s="497"/>
      <c r="K405" s="364"/>
      <c r="L405" s="393"/>
      <c r="M405" s="447">
        <f t="shared" si="46"/>
        <v>0</v>
      </c>
      <c r="N405" s="416">
        <f t="shared" si="47"/>
        <v>0</v>
      </c>
      <c r="O405" s="418" t="s">
        <v>351</v>
      </c>
      <c r="P405" s="426">
        <v>739</v>
      </c>
      <c r="Q405" s="362"/>
    </row>
    <row r="406" spans="1:17" x14ac:dyDescent="0.25">
      <c r="A406" s="142"/>
      <c r="B406" s="143"/>
      <c r="C406" s="143"/>
      <c r="D406" s="143"/>
      <c r="E406" s="143"/>
      <c r="F406" s="143"/>
      <c r="G406" s="144"/>
      <c r="H406" s="144"/>
      <c r="I406" s="191"/>
      <c r="J406" s="497"/>
      <c r="K406" s="361"/>
      <c r="L406" s="392"/>
      <c r="M406" s="447">
        <f t="shared" si="46"/>
        <v>0</v>
      </c>
      <c r="N406" s="416">
        <f t="shared" si="47"/>
        <v>0</v>
      </c>
      <c r="O406" s="541" t="s">
        <v>108</v>
      </c>
      <c r="P406" s="426">
        <v>117</v>
      </c>
      <c r="Q406" s="362"/>
    </row>
    <row r="407" spans="1:17" x14ac:dyDescent="0.25">
      <c r="A407" s="142"/>
      <c r="B407" s="143"/>
      <c r="C407" s="143"/>
      <c r="D407" s="143"/>
      <c r="E407" s="143"/>
      <c r="F407" s="143"/>
      <c r="G407" s="144"/>
      <c r="H407" s="144"/>
      <c r="I407" s="191"/>
      <c r="J407" s="497"/>
      <c r="K407" s="361"/>
      <c r="L407" s="392"/>
      <c r="M407" s="447">
        <f t="shared" si="46"/>
        <v>0</v>
      </c>
      <c r="N407" s="416">
        <f t="shared" si="47"/>
        <v>0</v>
      </c>
      <c r="O407" s="418" t="s">
        <v>402</v>
      </c>
      <c r="P407" s="426">
        <v>319</v>
      </c>
      <c r="Q407" s="362"/>
    </row>
    <row r="408" spans="1:17" x14ac:dyDescent="0.25">
      <c r="A408" s="142"/>
      <c r="B408" s="143"/>
      <c r="C408" s="143"/>
      <c r="D408" s="143"/>
      <c r="E408" s="143"/>
      <c r="F408" s="143"/>
      <c r="G408" s="144"/>
      <c r="H408" s="144"/>
      <c r="I408" s="191"/>
      <c r="J408" s="497"/>
      <c r="K408" s="361"/>
      <c r="L408" s="392"/>
      <c r="M408" s="447">
        <f t="shared" si="46"/>
        <v>0</v>
      </c>
      <c r="N408" s="416">
        <f t="shared" si="47"/>
        <v>0</v>
      </c>
      <c r="O408" s="418" t="s">
        <v>256</v>
      </c>
      <c r="P408" s="426">
        <v>705</v>
      </c>
      <c r="Q408" s="362"/>
    </row>
    <row r="409" spans="1:17" x14ac:dyDescent="0.25">
      <c r="A409" s="142"/>
      <c r="B409" s="143"/>
      <c r="C409" s="143"/>
      <c r="D409" s="143"/>
      <c r="E409" s="143"/>
      <c r="F409" s="143"/>
      <c r="G409" s="144"/>
      <c r="H409" s="144"/>
      <c r="I409" s="191"/>
      <c r="J409" s="497">
        <v>3</v>
      </c>
      <c r="K409" s="361"/>
      <c r="L409" s="392"/>
      <c r="M409" s="447">
        <f t="shared" si="46"/>
        <v>3</v>
      </c>
      <c r="N409" s="416">
        <f t="shared" si="47"/>
        <v>7.462686567164179E-3</v>
      </c>
      <c r="O409" s="418" t="s">
        <v>27</v>
      </c>
      <c r="P409" s="426">
        <v>58</v>
      </c>
      <c r="Q409" s="362"/>
    </row>
    <row r="410" spans="1:17" x14ac:dyDescent="0.25">
      <c r="A410" s="142"/>
      <c r="B410" s="143"/>
      <c r="C410" s="143"/>
      <c r="D410" s="143"/>
      <c r="E410" s="143"/>
      <c r="F410" s="143"/>
      <c r="G410" s="144"/>
      <c r="H410" s="144"/>
      <c r="I410" s="191"/>
      <c r="J410" s="497"/>
      <c r="K410" s="361"/>
      <c r="L410" s="392"/>
      <c r="M410" s="447">
        <f t="shared" si="46"/>
        <v>0</v>
      </c>
      <c r="N410" s="416">
        <f t="shared" si="47"/>
        <v>0</v>
      </c>
      <c r="O410" s="418" t="s">
        <v>200</v>
      </c>
      <c r="P410" s="426">
        <v>70</v>
      </c>
      <c r="Q410" s="362"/>
    </row>
    <row r="411" spans="1:17" x14ac:dyDescent="0.25">
      <c r="A411" s="142"/>
      <c r="B411" s="143"/>
      <c r="C411" s="143"/>
      <c r="D411" s="143"/>
      <c r="E411" s="143"/>
      <c r="F411" s="143"/>
      <c r="G411" s="144"/>
      <c r="H411" s="144"/>
      <c r="I411" s="191"/>
      <c r="J411" s="497"/>
      <c r="K411" s="378"/>
      <c r="L411" s="394"/>
      <c r="M411" s="447">
        <f t="shared" si="46"/>
        <v>0</v>
      </c>
      <c r="N411" s="416">
        <f t="shared" si="47"/>
        <v>0</v>
      </c>
      <c r="O411" s="418" t="s">
        <v>356</v>
      </c>
      <c r="P411" s="426">
        <v>265</v>
      </c>
      <c r="Q411" s="362"/>
    </row>
    <row r="412" spans="1:17" x14ac:dyDescent="0.25">
      <c r="A412" s="142"/>
      <c r="B412" s="143"/>
      <c r="C412" s="143"/>
      <c r="D412" s="143" t="s">
        <v>100</v>
      </c>
      <c r="E412" s="143"/>
      <c r="F412" s="143"/>
      <c r="G412" s="144"/>
      <c r="H412" s="144"/>
      <c r="I412" s="191"/>
      <c r="J412" s="497"/>
      <c r="K412" s="361"/>
      <c r="L412" s="392"/>
      <c r="M412" s="447">
        <f t="shared" si="46"/>
        <v>0</v>
      </c>
      <c r="N412" s="416">
        <f t="shared" si="47"/>
        <v>0</v>
      </c>
      <c r="O412" s="418" t="s">
        <v>71</v>
      </c>
      <c r="P412" s="426">
        <v>388</v>
      </c>
      <c r="Q412" s="362"/>
    </row>
    <row r="413" spans="1:17" x14ac:dyDescent="0.25">
      <c r="A413" s="142"/>
      <c r="B413" s="143"/>
      <c r="C413" s="143"/>
      <c r="D413" s="143"/>
      <c r="E413" s="143"/>
      <c r="F413" s="143"/>
      <c r="G413" s="144"/>
      <c r="H413" s="144"/>
      <c r="I413" s="191"/>
      <c r="J413" s="497"/>
      <c r="K413" s="361"/>
      <c r="L413" s="392"/>
      <c r="M413" s="447">
        <f t="shared" si="46"/>
        <v>0</v>
      </c>
      <c r="N413" s="416">
        <f t="shared" si="47"/>
        <v>0</v>
      </c>
      <c r="O413" s="418" t="s">
        <v>163</v>
      </c>
      <c r="P413" s="426">
        <v>679</v>
      </c>
      <c r="Q413" s="362"/>
    </row>
    <row r="414" spans="1:17" x14ac:dyDescent="0.25">
      <c r="A414" s="142"/>
      <c r="B414" s="143"/>
      <c r="C414" s="143"/>
      <c r="D414" s="143"/>
      <c r="E414" s="143"/>
      <c r="F414" s="143"/>
      <c r="G414" s="144"/>
      <c r="H414" s="144"/>
      <c r="I414" s="191"/>
      <c r="J414" s="487"/>
      <c r="K414" s="361"/>
      <c r="L414" s="392"/>
      <c r="M414" s="447">
        <f t="shared" si="46"/>
        <v>0</v>
      </c>
      <c r="N414" s="416">
        <f t="shared" si="47"/>
        <v>0</v>
      </c>
      <c r="O414" s="418" t="s">
        <v>85</v>
      </c>
      <c r="P414" s="426">
        <v>43</v>
      </c>
      <c r="Q414" s="362"/>
    </row>
    <row r="415" spans="1:17" x14ac:dyDescent="0.25">
      <c r="A415" s="142"/>
      <c r="B415" s="143"/>
      <c r="C415" s="143"/>
      <c r="D415" s="143"/>
      <c r="E415" s="143"/>
      <c r="F415" s="143"/>
      <c r="G415" s="144"/>
      <c r="H415" s="144"/>
      <c r="I415" s="191"/>
      <c r="J415" s="487"/>
      <c r="K415" s="361"/>
      <c r="L415" s="392"/>
      <c r="M415" s="447">
        <f t="shared" si="46"/>
        <v>0</v>
      </c>
      <c r="N415" s="416">
        <f t="shared" si="47"/>
        <v>0</v>
      </c>
      <c r="O415" s="542" t="s">
        <v>80</v>
      </c>
      <c r="P415" s="422">
        <v>46</v>
      </c>
      <c r="Q415" s="362"/>
    </row>
    <row r="416" spans="1:17" ht="15.75" thickBot="1" x14ac:dyDescent="0.3">
      <c r="A416" s="142"/>
      <c r="B416" s="143"/>
      <c r="C416" s="143"/>
      <c r="D416" s="143"/>
      <c r="E416" s="143"/>
      <c r="F416" s="143"/>
      <c r="G416" s="144"/>
      <c r="H416" s="144"/>
      <c r="I416" s="191"/>
      <c r="J416" s="495"/>
      <c r="K416" s="363"/>
      <c r="L416" s="392"/>
      <c r="M416" s="447">
        <f t="shared" si="46"/>
        <v>0</v>
      </c>
      <c r="N416" s="453">
        <f>M416/$E$394</f>
        <v>0</v>
      </c>
      <c r="O416" s="420" t="s">
        <v>277</v>
      </c>
      <c r="P416" s="428">
        <v>65</v>
      </c>
      <c r="Q416" s="362"/>
    </row>
    <row r="417" spans="1:17" ht="15.75" thickBot="1" x14ac:dyDescent="0.3">
      <c r="A417" s="142"/>
      <c r="B417" s="143"/>
      <c r="C417" s="143"/>
      <c r="D417" s="143"/>
      <c r="E417" s="143"/>
      <c r="F417" s="143"/>
      <c r="G417" s="144"/>
      <c r="H417" s="144"/>
      <c r="I417" s="192"/>
      <c r="J417" s="367"/>
      <c r="K417" s="367"/>
      <c r="L417" s="368"/>
      <c r="M417" s="369"/>
      <c r="N417" s="369"/>
      <c r="O417" s="424" t="s">
        <v>251</v>
      </c>
      <c r="P417" s="375"/>
      <c r="Q417" s="362"/>
    </row>
    <row r="418" spans="1:17" x14ac:dyDescent="0.25">
      <c r="A418" s="142"/>
      <c r="B418" s="143"/>
      <c r="C418" s="143"/>
      <c r="D418" s="143"/>
      <c r="E418" s="143"/>
      <c r="F418" s="143"/>
      <c r="G418" s="144"/>
      <c r="H418" s="144"/>
      <c r="I418" s="191"/>
      <c r="J418" s="482"/>
      <c r="K418" s="494"/>
      <c r="L418" s="533"/>
      <c r="M418" s="498">
        <f>SUM(J418,L418)</f>
        <v>0</v>
      </c>
      <c r="N418" s="471">
        <f>K418/$E$394</f>
        <v>0</v>
      </c>
      <c r="O418" s="543" t="s">
        <v>91</v>
      </c>
      <c r="P418" s="443">
        <v>159</v>
      </c>
      <c r="Q418" s="439"/>
    </row>
    <row r="419" spans="1:17" x14ac:dyDescent="0.25">
      <c r="A419" s="142"/>
      <c r="B419" s="143"/>
      <c r="C419" s="143"/>
      <c r="D419" s="143"/>
      <c r="E419" s="143"/>
      <c r="F419" s="143"/>
      <c r="G419" s="144"/>
      <c r="H419" s="144"/>
      <c r="I419" s="191"/>
      <c r="J419" s="483"/>
      <c r="K419" s="487">
        <v>1</v>
      </c>
      <c r="L419" s="463"/>
      <c r="M419" s="499">
        <f>SUM(J419,L419)</f>
        <v>0</v>
      </c>
      <c r="N419" s="472">
        <f>M419/$E$394</f>
        <v>0</v>
      </c>
      <c r="O419" s="544" t="s">
        <v>9</v>
      </c>
      <c r="P419" s="444">
        <v>331</v>
      </c>
      <c r="Q419" s="439"/>
    </row>
    <row r="420" spans="1:17" x14ac:dyDescent="0.25">
      <c r="A420" s="142"/>
      <c r="B420" s="143"/>
      <c r="C420" s="143"/>
      <c r="D420" s="143"/>
      <c r="E420" s="143"/>
      <c r="F420" s="143"/>
      <c r="G420" s="144"/>
      <c r="H420" s="144"/>
      <c r="I420" s="191"/>
      <c r="J420" s="484"/>
      <c r="K420" s="487"/>
      <c r="L420" s="463"/>
      <c r="M420" s="447">
        <f t="shared" ref="M420" si="48">SUM(J420,L420)</f>
        <v>0</v>
      </c>
      <c r="N420" s="472">
        <f t="shared" ref="N420:N429" si="49">M420/$E$394</f>
        <v>0</v>
      </c>
      <c r="O420" s="545" t="s">
        <v>94</v>
      </c>
      <c r="P420" s="422">
        <v>265</v>
      </c>
      <c r="Q420" s="439"/>
    </row>
    <row r="421" spans="1:17" x14ac:dyDescent="0.25">
      <c r="A421" s="142"/>
      <c r="B421" s="143"/>
      <c r="C421" s="143"/>
      <c r="D421" s="143"/>
      <c r="E421" s="143"/>
      <c r="F421" s="143"/>
      <c r="G421" s="144"/>
      <c r="H421" s="144"/>
      <c r="I421" s="191"/>
      <c r="J421" s="483"/>
      <c r="K421" s="487">
        <v>4</v>
      </c>
      <c r="L421" s="463"/>
      <c r="M421" s="499">
        <f>SUM(J421,L421)</f>
        <v>0</v>
      </c>
      <c r="N421" s="472">
        <f t="shared" si="49"/>
        <v>0</v>
      </c>
      <c r="O421" s="544" t="s">
        <v>92</v>
      </c>
      <c r="P421" s="444">
        <v>159</v>
      </c>
      <c r="Q421" s="460"/>
    </row>
    <row r="422" spans="1:17" x14ac:dyDescent="0.25">
      <c r="A422" s="142"/>
      <c r="B422" s="143"/>
      <c r="C422" s="143"/>
      <c r="D422" s="143"/>
      <c r="E422" s="143"/>
      <c r="F422" s="143"/>
      <c r="G422" s="144"/>
      <c r="H422" s="144"/>
      <c r="I422" s="191"/>
      <c r="J422" s="483"/>
      <c r="K422" s="487"/>
      <c r="L422" s="463"/>
      <c r="M422" s="447">
        <v>0</v>
      </c>
      <c r="N422" s="472">
        <f t="shared" si="49"/>
        <v>0</v>
      </c>
      <c r="O422" s="546" t="s">
        <v>374</v>
      </c>
      <c r="P422" s="444">
        <v>73</v>
      </c>
      <c r="Q422" s="460"/>
    </row>
    <row r="423" spans="1:17" x14ac:dyDescent="0.25">
      <c r="A423" s="142"/>
      <c r="B423" s="143"/>
      <c r="C423" s="143"/>
      <c r="D423" s="143"/>
      <c r="E423" s="143"/>
      <c r="F423" s="143"/>
      <c r="G423" s="144"/>
      <c r="H423" s="144"/>
      <c r="I423" s="191"/>
      <c r="J423" s="483"/>
      <c r="K423" s="487"/>
      <c r="L423" s="463"/>
      <c r="M423" s="447">
        <v>0</v>
      </c>
      <c r="N423" s="472">
        <f t="shared" si="49"/>
        <v>0</v>
      </c>
      <c r="O423" s="546" t="s">
        <v>35</v>
      </c>
      <c r="P423" s="444">
        <v>65</v>
      </c>
      <c r="Q423" s="460"/>
    </row>
    <row r="424" spans="1:17" x14ac:dyDescent="0.25">
      <c r="A424" s="142"/>
      <c r="B424" s="143"/>
      <c r="C424" s="143"/>
      <c r="D424" s="143"/>
      <c r="E424" s="143"/>
      <c r="F424" s="143"/>
      <c r="G424" s="144"/>
      <c r="H424" s="144"/>
      <c r="I424" s="191"/>
      <c r="J424" s="483"/>
      <c r="K424" s="487"/>
      <c r="L424" s="463"/>
      <c r="M424" s="447">
        <f t="shared" ref="M424:M427" si="50">SUM(J424,L424)</f>
        <v>0</v>
      </c>
      <c r="N424" s="472">
        <f t="shared" si="49"/>
        <v>0</v>
      </c>
      <c r="O424" s="545" t="s">
        <v>80</v>
      </c>
      <c r="P424" s="422">
        <v>46</v>
      </c>
      <c r="Q424" s="439"/>
    </row>
    <row r="425" spans="1:17" x14ac:dyDescent="0.25">
      <c r="A425" s="142"/>
      <c r="B425" s="143"/>
      <c r="C425" s="143"/>
      <c r="D425" s="143"/>
      <c r="E425" s="143"/>
      <c r="F425" s="143"/>
      <c r="G425" s="144"/>
      <c r="H425" s="144"/>
      <c r="I425" s="191"/>
      <c r="J425" s="484"/>
      <c r="K425" s="487">
        <v>10</v>
      </c>
      <c r="L425" s="463"/>
      <c r="M425" s="447">
        <f t="shared" si="50"/>
        <v>0</v>
      </c>
      <c r="N425" s="472">
        <f t="shared" si="49"/>
        <v>0</v>
      </c>
      <c r="O425" s="544" t="s">
        <v>93</v>
      </c>
      <c r="P425" s="444">
        <v>159</v>
      </c>
      <c r="Q425" s="460"/>
    </row>
    <row r="426" spans="1:17" x14ac:dyDescent="0.25">
      <c r="A426" s="142"/>
      <c r="B426" s="143"/>
      <c r="C426" s="143"/>
      <c r="D426" s="143"/>
      <c r="E426" s="143"/>
      <c r="F426" s="143"/>
      <c r="G426" s="144"/>
      <c r="H426" s="144"/>
      <c r="I426" s="191"/>
      <c r="J426" s="483"/>
      <c r="K426" s="487">
        <v>1</v>
      </c>
      <c r="L426" s="463"/>
      <c r="M426" s="447">
        <f t="shared" si="50"/>
        <v>0</v>
      </c>
      <c r="N426" s="472">
        <f t="shared" si="49"/>
        <v>0</v>
      </c>
      <c r="O426" s="544" t="s">
        <v>90</v>
      </c>
      <c r="P426" s="444">
        <v>159</v>
      </c>
      <c r="Q426" s="439"/>
    </row>
    <row r="427" spans="1:17" x14ac:dyDescent="0.25">
      <c r="A427" s="142"/>
      <c r="B427" s="143"/>
      <c r="C427" s="143"/>
      <c r="D427" s="143"/>
      <c r="E427" s="143"/>
      <c r="F427" s="143"/>
      <c r="G427" s="144"/>
      <c r="H427" s="144"/>
      <c r="I427" s="191"/>
      <c r="J427" s="483"/>
      <c r="K427" s="487"/>
      <c r="L427" s="463"/>
      <c r="M427" s="447">
        <f t="shared" si="50"/>
        <v>0</v>
      </c>
      <c r="N427" s="472">
        <f t="shared" si="49"/>
        <v>0</v>
      </c>
      <c r="O427" s="547" t="s">
        <v>109</v>
      </c>
      <c r="P427" s="426">
        <v>624</v>
      </c>
      <c r="Q427" s="439"/>
    </row>
    <row r="428" spans="1:17" x14ac:dyDescent="0.25">
      <c r="A428" s="142"/>
      <c r="B428" s="143"/>
      <c r="C428" s="143"/>
      <c r="D428" s="143"/>
      <c r="E428" s="143"/>
      <c r="F428" s="143"/>
      <c r="G428" s="144"/>
      <c r="H428" s="144"/>
      <c r="I428" s="191"/>
      <c r="J428" s="483"/>
      <c r="K428" s="487"/>
      <c r="L428" s="463"/>
      <c r="M428" s="447">
        <v>0</v>
      </c>
      <c r="N428" s="472">
        <f t="shared" si="49"/>
        <v>0</v>
      </c>
      <c r="O428" s="547" t="s">
        <v>375</v>
      </c>
      <c r="P428" s="426">
        <v>159</v>
      </c>
      <c r="Q428" s="362" t="s">
        <v>380</v>
      </c>
    </row>
    <row r="429" spans="1:17" x14ac:dyDescent="0.25">
      <c r="A429" s="142"/>
      <c r="B429" s="143"/>
      <c r="C429" s="143"/>
      <c r="D429" s="143"/>
      <c r="E429" s="143"/>
      <c r="F429" s="143"/>
      <c r="G429" s="144"/>
      <c r="H429" s="144"/>
      <c r="I429" s="191"/>
      <c r="J429" s="483"/>
      <c r="K429" s="487"/>
      <c r="L429" s="463"/>
      <c r="M429" s="447">
        <v>0</v>
      </c>
      <c r="N429" s="472">
        <f t="shared" si="49"/>
        <v>0</v>
      </c>
      <c r="O429" s="547" t="s">
        <v>376</v>
      </c>
      <c r="P429" s="426">
        <v>159</v>
      </c>
      <c r="Q429" s="362" t="s">
        <v>405</v>
      </c>
    </row>
    <row r="430" spans="1:17" ht="15.75" thickBot="1" x14ac:dyDescent="0.3">
      <c r="A430" s="142"/>
      <c r="B430" s="143"/>
      <c r="C430" s="143"/>
      <c r="D430" s="143"/>
      <c r="E430" s="143"/>
      <c r="F430" s="143"/>
      <c r="G430" s="144"/>
      <c r="H430" s="144"/>
      <c r="I430" s="191"/>
      <c r="J430" s="532"/>
      <c r="K430" s="495"/>
      <c r="L430" s="513"/>
      <c r="M430" s="514">
        <f>SUM(J430,L430)</f>
        <v>0</v>
      </c>
      <c r="N430" s="402">
        <f>M430/$E$394</f>
        <v>0</v>
      </c>
      <c r="O430" s="552" t="s">
        <v>181</v>
      </c>
      <c r="P430" s="445">
        <v>159</v>
      </c>
      <c r="Q430" s="439"/>
    </row>
    <row r="431" spans="1:17" ht="15.75" thickBot="1" x14ac:dyDescent="0.3">
      <c r="A431" s="142"/>
      <c r="B431" s="143"/>
      <c r="C431" s="143"/>
      <c r="D431" s="143"/>
      <c r="E431" s="143"/>
      <c r="F431" s="143"/>
      <c r="G431" s="144"/>
      <c r="H431" s="144"/>
      <c r="I431" s="192"/>
      <c r="J431" s="372"/>
      <c r="K431" s="372"/>
      <c r="L431" s="373"/>
      <c r="M431" s="518"/>
      <c r="N431" s="374"/>
      <c r="O431" s="526" t="s">
        <v>257</v>
      </c>
      <c r="P431" s="375"/>
      <c r="Q431" s="362"/>
    </row>
    <row r="432" spans="1:17" x14ac:dyDescent="0.25">
      <c r="A432" s="142"/>
      <c r="B432" s="143"/>
      <c r="C432" s="143"/>
      <c r="D432" s="143"/>
      <c r="E432" s="143"/>
      <c r="F432" s="143"/>
      <c r="G432" s="144"/>
      <c r="H432" s="144"/>
      <c r="I432" s="192"/>
      <c r="J432" s="527">
        <v>1</v>
      </c>
      <c r="K432" s="528"/>
      <c r="L432" s="529"/>
      <c r="M432" s="502">
        <f>SUM(J432,L432)</f>
        <v>1</v>
      </c>
      <c r="N432" s="462">
        <f>M432/$E$394</f>
        <v>2.4875621890547263E-3</v>
      </c>
      <c r="O432" s="550" t="s">
        <v>71</v>
      </c>
      <c r="P432" s="421">
        <v>388</v>
      </c>
      <c r="Q432" s="362"/>
    </row>
    <row r="433" spans="1:17" x14ac:dyDescent="0.25">
      <c r="A433" s="142"/>
      <c r="B433" s="143"/>
      <c r="C433" s="143"/>
      <c r="D433" s="143"/>
      <c r="E433" s="143"/>
      <c r="F433" s="143"/>
      <c r="G433" s="144"/>
      <c r="H433" s="144"/>
      <c r="I433" s="192"/>
      <c r="J433" s="370">
        <v>1</v>
      </c>
      <c r="K433" s="387"/>
      <c r="L433" s="516"/>
      <c r="M433" s="503">
        <f t="shared" ref="M433:M452" si="51">SUM(J433,L433)</f>
        <v>1</v>
      </c>
      <c r="N433" s="501">
        <f>M433/$E$394</f>
        <v>2.4875621890547263E-3</v>
      </c>
      <c r="O433" s="542" t="s">
        <v>174</v>
      </c>
      <c r="P433" s="422">
        <v>734</v>
      </c>
      <c r="Q433" s="362"/>
    </row>
    <row r="434" spans="1:17" x14ac:dyDescent="0.25">
      <c r="A434" s="142"/>
      <c r="B434" s="143"/>
      <c r="C434" s="143"/>
      <c r="D434" s="143"/>
      <c r="E434" s="143"/>
      <c r="F434" s="143"/>
      <c r="G434" s="144"/>
      <c r="H434" s="144"/>
      <c r="I434" s="192"/>
      <c r="J434" s="370">
        <v>1</v>
      </c>
      <c r="K434" s="387"/>
      <c r="L434" s="516"/>
      <c r="M434" s="503">
        <f t="shared" si="51"/>
        <v>1</v>
      </c>
      <c r="N434" s="501">
        <f t="shared" ref="N434:N451" si="52">M434/$E$394</f>
        <v>2.4875621890547263E-3</v>
      </c>
      <c r="O434" s="542" t="s">
        <v>117</v>
      </c>
      <c r="P434" s="422">
        <v>735</v>
      </c>
      <c r="Q434" s="362"/>
    </row>
    <row r="435" spans="1:17" x14ac:dyDescent="0.25">
      <c r="A435" s="142"/>
      <c r="B435" s="143"/>
      <c r="C435" s="143"/>
      <c r="D435" s="143"/>
      <c r="E435" s="143"/>
      <c r="F435" s="143"/>
      <c r="G435" s="144"/>
      <c r="H435" s="144"/>
      <c r="I435" s="192"/>
      <c r="J435" s="370">
        <v>1</v>
      </c>
      <c r="K435" s="387"/>
      <c r="L435" s="516"/>
      <c r="M435" s="503">
        <f t="shared" si="51"/>
        <v>1</v>
      </c>
      <c r="N435" s="501">
        <f t="shared" si="52"/>
        <v>2.4875621890547263E-3</v>
      </c>
      <c r="O435" s="542" t="s">
        <v>346</v>
      </c>
      <c r="P435" s="422">
        <v>43</v>
      </c>
      <c r="Q435" s="362"/>
    </row>
    <row r="436" spans="1:17" x14ac:dyDescent="0.25">
      <c r="A436" s="142"/>
      <c r="B436" s="143"/>
      <c r="C436" s="143"/>
      <c r="D436" s="143"/>
      <c r="E436" s="143"/>
      <c r="F436" s="143"/>
      <c r="G436" s="144"/>
      <c r="H436" s="144"/>
      <c r="I436" s="145"/>
      <c r="J436" s="370"/>
      <c r="K436" s="387"/>
      <c r="L436" s="516"/>
      <c r="M436" s="503">
        <f t="shared" si="51"/>
        <v>0</v>
      </c>
      <c r="N436" s="501">
        <f t="shared" si="52"/>
        <v>0</v>
      </c>
      <c r="O436" s="542" t="s">
        <v>177</v>
      </c>
      <c r="P436" s="422">
        <v>736</v>
      </c>
      <c r="Q436" s="362"/>
    </row>
    <row r="437" spans="1:17" x14ac:dyDescent="0.25">
      <c r="A437" s="142"/>
      <c r="B437" s="143"/>
      <c r="C437" s="143"/>
      <c r="D437" s="143"/>
      <c r="E437" s="143"/>
      <c r="F437" s="143"/>
      <c r="G437" s="144"/>
      <c r="H437" s="144"/>
      <c r="I437" s="145"/>
      <c r="J437" s="379"/>
      <c r="K437" s="387"/>
      <c r="L437" s="516"/>
      <c r="M437" s="503">
        <f t="shared" si="51"/>
        <v>0</v>
      </c>
      <c r="N437" s="501">
        <f t="shared" si="52"/>
        <v>0</v>
      </c>
      <c r="O437" s="542" t="s">
        <v>93</v>
      </c>
      <c r="P437" s="422">
        <v>159</v>
      </c>
      <c r="Q437" s="362"/>
    </row>
    <row r="438" spans="1:17" x14ac:dyDescent="0.25">
      <c r="A438" s="142"/>
      <c r="B438" s="143"/>
      <c r="C438" s="143"/>
      <c r="D438" s="143"/>
      <c r="E438" s="143"/>
      <c r="F438" s="143"/>
      <c r="G438" s="144"/>
      <c r="H438" s="144"/>
      <c r="I438" s="145"/>
      <c r="J438" s="379">
        <v>8</v>
      </c>
      <c r="K438" s="387"/>
      <c r="L438" s="515"/>
      <c r="M438" s="503">
        <f t="shared" si="51"/>
        <v>8</v>
      </c>
      <c r="N438" s="501">
        <f t="shared" si="52"/>
        <v>1.9900497512437811E-2</v>
      </c>
      <c r="O438" s="541" t="s">
        <v>108</v>
      </c>
      <c r="P438" s="422">
        <v>117</v>
      </c>
      <c r="Q438" s="362"/>
    </row>
    <row r="439" spans="1:17" x14ac:dyDescent="0.25">
      <c r="A439" s="142"/>
      <c r="B439" s="143"/>
      <c r="C439" s="143"/>
      <c r="D439" s="143"/>
      <c r="E439" s="143"/>
      <c r="F439" s="143"/>
      <c r="G439" s="144"/>
      <c r="H439" s="144"/>
      <c r="I439" s="145"/>
      <c r="J439" s="379">
        <v>7</v>
      </c>
      <c r="K439" s="387"/>
      <c r="L439" s="515"/>
      <c r="M439" s="503">
        <f t="shared" si="51"/>
        <v>7</v>
      </c>
      <c r="N439" s="501">
        <f t="shared" si="52"/>
        <v>1.7412935323383085E-2</v>
      </c>
      <c r="O439" s="542" t="s">
        <v>118</v>
      </c>
      <c r="P439" s="422">
        <v>665</v>
      </c>
      <c r="Q439" s="362"/>
    </row>
    <row r="440" spans="1:17" x14ac:dyDescent="0.25">
      <c r="A440" s="142"/>
      <c r="B440" s="143"/>
      <c r="C440" s="143"/>
      <c r="D440" s="143"/>
      <c r="E440" s="143"/>
      <c r="F440" s="143"/>
      <c r="G440" s="144"/>
      <c r="H440" s="144"/>
      <c r="I440" s="145"/>
      <c r="J440" s="379"/>
      <c r="K440" s="387"/>
      <c r="L440" s="516"/>
      <c r="M440" s="503">
        <f t="shared" si="51"/>
        <v>0</v>
      </c>
      <c r="N440" s="501">
        <f t="shared" si="52"/>
        <v>0</v>
      </c>
      <c r="O440" s="542" t="s">
        <v>345</v>
      </c>
      <c r="P440" s="422">
        <v>65</v>
      </c>
      <c r="Q440" s="362"/>
    </row>
    <row r="441" spans="1:17" x14ac:dyDescent="0.25">
      <c r="A441" s="142"/>
      <c r="B441" s="143"/>
      <c r="C441" s="143"/>
      <c r="D441" s="143"/>
      <c r="E441" s="143"/>
      <c r="F441" s="143"/>
      <c r="G441" s="144"/>
      <c r="H441" s="144"/>
      <c r="I441" s="145"/>
      <c r="J441" s="379"/>
      <c r="K441" s="387"/>
      <c r="L441" s="516"/>
      <c r="M441" s="503">
        <f t="shared" si="51"/>
        <v>0</v>
      </c>
      <c r="N441" s="501">
        <f t="shared" si="52"/>
        <v>0</v>
      </c>
      <c r="O441" s="542" t="s">
        <v>353</v>
      </c>
      <c r="P441" s="422">
        <v>65</v>
      </c>
      <c r="Q441" s="362"/>
    </row>
    <row r="442" spans="1:17" x14ac:dyDescent="0.25">
      <c r="A442" s="142"/>
      <c r="B442" s="143"/>
      <c r="C442" s="143"/>
      <c r="D442" s="143"/>
      <c r="E442" s="143"/>
      <c r="F442" s="143"/>
      <c r="G442" s="144"/>
      <c r="H442" s="144"/>
      <c r="I442" s="145"/>
      <c r="J442" s="379"/>
      <c r="K442" s="387"/>
      <c r="L442" s="516"/>
      <c r="M442" s="503">
        <f t="shared" si="51"/>
        <v>0</v>
      </c>
      <c r="N442" s="501">
        <f t="shared" si="52"/>
        <v>0</v>
      </c>
      <c r="O442" s="542" t="s">
        <v>26</v>
      </c>
      <c r="P442" s="422">
        <v>164</v>
      </c>
      <c r="Q442" s="362"/>
    </row>
    <row r="443" spans="1:17" x14ac:dyDescent="0.25">
      <c r="A443" s="142"/>
      <c r="B443" s="143"/>
      <c r="C443" s="143"/>
      <c r="D443" s="143"/>
      <c r="E443" s="143"/>
      <c r="F443" s="143"/>
      <c r="G443" s="144"/>
      <c r="H443" s="144"/>
      <c r="I443" s="145"/>
      <c r="J443" s="379"/>
      <c r="K443" s="387"/>
      <c r="L443" s="516"/>
      <c r="M443" s="503">
        <f t="shared" si="51"/>
        <v>0</v>
      </c>
      <c r="N443" s="501">
        <f t="shared" si="52"/>
        <v>0</v>
      </c>
      <c r="O443" s="542" t="s">
        <v>89</v>
      </c>
      <c r="P443" s="422">
        <v>65</v>
      </c>
      <c r="Q443" s="362"/>
    </row>
    <row r="444" spans="1:17" x14ac:dyDescent="0.25">
      <c r="A444" s="142"/>
      <c r="B444" s="143"/>
      <c r="C444" s="143"/>
      <c r="D444" s="143"/>
      <c r="E444" s="143"/>
      <c r="F444" s="143"/>
      <c r="G444" s="144"/>
      <c r="H444" s="144"/>
      <c r="I444" s="145"/>
      <c r="J444" s="379"/>
      <c r="K444" s="387"/>
      <c r="L444" s="516"/>
      <c r="M444" s="503">
        <f t="shared" si="51"/>
        <v>0</v>
      </c>
      <c r="N444" s="501">
        <f t="shared" si="52"/>
        <v>0</v>
      </c>
      <c r="O444" s="542" t="s">
        <v>381</v>
      </c>
      <c r="P444" s="422">
        <v>65</v>
      </c>
      <c r="Q444" s="362"/>
    </row>
    <row r="445" spans="1:17" x14ac:dyDescent="0.25">
      <c r="A445" s="142"/>
      <c r="B445" s="143"/>
      <c r="C445" s="143"/>
      <c r="D445" s="143"/>
      <c r="E445" s="143"/>
      <c r="F445" s="143"/>
      <c r="G445" s="144"/>
      <c r="H445" s="144"/>
      <c r="I445" s="145"/>
      <c r="J445" s="379"/>
      <c r="K445" s="387"/>
      <c r="L445" s="516"/>
      <c r="M445" s="503">
        <f t="shared" si="51"/>
        <v>0</v>
      </c>
      <c r="N445" s="501">
        <f t="shared" si="52"/>
        <v>0</v>
      </c>
      <c r="O445" s="542" t="s">
        <v>408</v>
      </c>
      <c r="P445" s="422">
        <v>159</v>
      </c>
      <c r="Q445" s="362"/>
    </row>
    <row r="446" spans="1:17" x14ac:dyDescent="0.25">
      <c r="A446" s="142"/>
      <c r="B446" s="143"/>
      <c r="C446" s="143"/>
      <c r="D446" s="143"/>
      <c r="E446" s="143"/>
      <c r="F446" s="143"/>
      <c r="G446" s="144"/>
      <c r="H446" s="144"/>
      <c r="I446" s="145"/>
      <c r="J446" s="379"/>
      <c r="K446" s="387"/>
      <c r="L446" s="516"/>
      <c r="M446" s="503">
        <f t="shared" si="51"/>
        <v>0</v>
      </c>
      <c r="N446" s="501">
        <f t="shared" si="52"/>
        <v>0</v>
      </c>
      <c r="O446" s="542" t="s">
        <v>355</v>
      </c>
      <c r="P446" s="422">
        <v>739</v>
      </c>
      <c r="Q446" s="362"/>
    </row>
    <row r="447" spans="1:17" x14ac:dyDescent="0.25">
      <c r="A447" s="142"/>
      <c r="B447" s="143"/>
      <c r="C447" s="143"/>
      <c r="D447" s="143"/>
      <c r="E447" s="143"/>
      <c r="F447" s="143"/>
      <c r="G447" s="144"/>
      <c r="H447" s="144"/>
      <c r="I447" s="145"/>
      <c r="J447" s="379">
        <v>2</v>
      </c>
      <c r="K447" s="387"/>
      <c r="L447" s="516"/>
      <c r="M447" s="503">
        <f t="shared" si="51"/>
        <v>2</v>
      </c>
      <c r="N447" s="501">
        <f t="shared" si="52"/>
        <v>4.9751243781094526E-3</v>
      </c>
      <c r="O447" s="542" t="s">
        <v>35</v>
      </c>
      <c r="P447" s="422">
        <v>65</v>
      </c>
      <c r="Q447" s="362"/>
    </row>
    <row r="448" spans="1:17" x14ac:dyDescent="0.25">
      <c r="A448" s="142"/>
      <c r="B448" s="143"/>
      <c r="C448" s="143"/>
      <c r="D448" s="143"/>
      <c r="E448" s="143"/>
      <c r="F448" s="143"/>
      <c r="G448" s="144"/>
      <c r="H448" s="144"/>
      <c r="I448" s="145"/>
      <c r="J448" s="379"/>
      <c r="K448" s="387"/>
      <c r="L448" s="516"/>
      <c r="M448" s="503">
        <f t="shared" si="51"/>
        <v>0</v>
      </c>
      <c r="N448" s="501">
        <f t="shared" si="52"/>
        <v>0</v>
      </c>
      <c r="O448" s="542" t="s">
        <v>409</v>
      </c>
      <c r="P448" s="422">
        <v>65</v>
      </c>
      <c r="Q448" s="362"/>
    </row>
    <row r="449" spans="1:17" x14ac:dyDescent="0.25">
      <c r="A449" s="142"/>
      <c r="B449" s="143"/>
      <c r="C449" s="143"/>
      <c r="D449" s="143"/>
      <c r="E449" s="143"/>
      <c r="F449" s="143"/>
      <c r="G449" s="144"/>
      <c r="H449" s="144"/>
      <c r="I449" s="145"/>
      <c r="J449" s="379"/>
      <c r="K449" s="387"/>
      <c r="L449" s="516"/>
      <c r="M449" s="503">
        <f t="shared" si="51"/>
        <v>0</v>
      </c>
      <c r="N449" s="501">
        <f t="shared" si="52"/>
        <v>0</v>
      </c>
      <c r="O449" s="542" t="s">
        <v>360</v>
      </c>
      <c r="P449" s="422">
        <v>639</v>
      </c>
      <c r="Q449" s="362"/>
    </row>
    <row r="450" spans="1:17" x14ac:dyDescent="0.25">
      <c r="A450" s="142"/>
      <c r="B450" s="143"/>
      <c r="C450" s="143"/>
      <c r="D450" s="143"/>
      <c r="E450" s="143"/>
      <c r="F450" s="143"/>
      <c r="G450" s="144"/>
      <c r="H450" s="144"/>
      <c r="I450" s="145"/>
      <c r="J450" s="370">
        <v>37</v>
      </c>
      <c r="K450" s="387"/>
      <c r="L450" s="516"/>
      <c r="M450" s="503">
        <f t="shared" si="51"/>
        <v>37</v>
      </c>
      <c r="N450" s="501">
        <f t="shared" si="52"/>
        <v>9.2039800995024873E-2</v>
      </c>
      <c r="O450" s="542" t="s">
        <v>341</v>
      </c>
      <c r="P450" s="422">
        <v>639</v>
      </c>
      <c r="Q450" s="362"/>
    </row>
    <row r="451" spans="1:17" x14ac:dyDescent="0.25">
      <c r="A451" s="142"/>
      <c r="B451" s="143"/>
      <c r="C451" s="143"/>
      <c r="D451" s="143"/>
      <c r="E451" s="143"/>
      <c r="F451" s="143"/>
      <c r="G451" s="144"/>
      <c r="H451" s="144"/>
      <c r="I451" s="145"/>
      <c r="J451" s="370">
        <v>18</v>
      </c>
      <c r="K451" s="387"/>
      <c r="L451" s="516"/>
      <c r="M451" s="503">
        <f t="shared" si="51"/>
        <v>18</v>
      </c>
      <c r="N451" s="501">
        <f t="shared" si="52"/>
        <v>4.4776119402985072E-2</v>
      </c>
      <c r="O451" s="542" t="s">
        <v>359</v>
      </c>
      <c r="P451" s="422">
        <v>639</v>
      </c>
      <c r="Q451" s="362"/>
    </row>
    <row r="452" spans="1:17" ht="15.75" thickBot="1" x14ac:dyDescent="0.3">
      <c r="A452" s="150"/>
      <c r="B452" s="151"/>
      <c r="C452" s="151"/>
      <c r="D452" s="151"/>
      <c r="E452" s="151"/>
      <c r="F452" s="151"/>
      <c r="G452" s="152"/>
      <c r="H452" s="152"/>
      <c r="I452" s="153"/>
      <c r="J452" s="380"/>
      <c r="K452" s="388"/>
      <c r="L452" s="517"/>
      <c r="M452" s="506">
        <f t="shared" si="51"/>
        <v>0</v>
      </c>
      <c r="N452" s="402">
        <f>M452/$E$394</f>
        <v>0</v>
      </c>
      <c r="O452" s="551" t="s">
        <v>85</v>
      </c>
      <c r="P452" s="423">
        <v>43</v>
      </c>
      <c r="Q452" s="381"/>
    </row>
    <row r="453" spans="1:17" ht="15.75" thickBot="1" x14ac:dyDescent="0.3">
      <c r="I453" s="154" t="s">
        <v>4</v>
      </c>
      <c r="J453" s="382">
        <f>SUM(J395:J452)</f>
        <v>91</v>
      </c>
      <c r="K453" s="382">
        <f>SUM(K395:K452)</f>
        <v>16</v>
      </c>
      <c r="L453" s="382">
        <f>SUM(L395:L416,L432:L452,L418:L430)</f>
        <v>3</v>
      </c>
      <c r="M453" s="403">
        <f>SUM(M395:M452)</f>
        <v>94</v>
      </c>
      <c r="N453" s="398">
        <f>M453/$E$394</f>
        <v>0.23383084577114427</v>
      </c>
      <c r="O453" s="383"/>
      <c r="P453" s="383"/>
      <c r="Q453" s="384"/>
    </row>
    <row r="455" spans="1:17" ht="15.75" thickBot="1" x14ac:dyDescent="0.3"/>
    <row r="456" spans="1:17" ht="26.25" thickBot="1" x14ac:dyDescent="0.3">
      <c r="A456" s="434" t="s">
        <v>249</v>
      </c>
      <c r="B456" s="434" t="s">
        <v>47</v>
      </c>
      <c r="C456" s="434" t="s">
        <v>243</v>
      </c>
      <c r="D456" s="434" t="s">
        <v>242</v>
      </c>
      <c r="E456" s="434" t="s">
        <v>246</v>
      </c>
      <c r="F456" s="434" t="s">
        <v>16</v>
      </c>
      <c r="G456" s="76" t="s">
        <v>1</v>
      </c>
      <c r="H456" s="76" t="s">
        <v>86</v>
      </c>
      <c r="I456" s="435" t="s">
        <v>23</v>
      </c>
      <c r="J456" s="436" t="s">
        <v>266</v>
      </c>
      <c r="K456" s="437" t="s">
        <v>247</v>
      </c>
      <c r="L456" s="434" t="s">
        <v>248</v>
      </c>
      <c r="M456" s="434" t="s">
        <v>4</v>
      </c>
      <c r="N456" s="434" t="s">
        <v>2</v>
      </c>
      <c r="O456" s="434" t="s">
        <v>20</v>
      </c>
      <c r="P456" s="434" t="s">
        <v>69</v>
      </c>
      <c r="Q456" s="438" t="s">
        <v>6</v>
      </c>
    </row>
    <row r="457" spans="1:17" ht="15.75" thickBot="1" x14ac:dyDescent="0.3">
      <c r="A457" s="406">
        <v>1519770</v>
      </c>
      <c r="B457" s="406" t="s">
        <v>244</v>
      </c>
      <c r="C457" s="406" t="s">
        <v>245</v>
      </c>
      <c r="D457" s="406">
        <v>1920</v>
      </c>
      <c r="E457" s="406">
        <v>1999</v>
      </c>
      <c r="F457" s="407">
        <v>1837</v>
      </c>
      <c r="G457" s="408">
        <f>F457/E457</f>
        <v>0.91895947973986991</v>
      </c>
      <c r="H457" s="408">
        <f>$K$52/E457</f>
        <v>7.1035517758879438E-2</v>
      </c>
      <c r="I457" s="409">
        <v>45374</v>
      </c>
      <c r="J457" s="410"/>
      <c r="K457" s="410"/>
      <c r="L457" s="411"/>
      <c r="M457" s="412"/>
      <c r="N457" s="413"/>
      <c r="O457" s="414" t="s">
        <v>250</v>
      </c>
      <c r="P457" s="414"/>
      <c r="Q457" s="358"/>
    </row>
    <row r="458" spans="1:17" x14ac:dyDescent="0.25">
      <c r="A458" s="139"/>
      <c r="B458" s="140"/>
      <c r="C458" s="140"/>
      <c r="D458" s="140" t="s">
        <v>442</v>
      </c>
      <c r="E458" s="140"/>
      <c r="F458" s="140"/>
      <c r="G458" s="141"/>
      <c r="H458" s="141"/>
      <c r="I458" s="190"/>
      <c r="J458" s="496">
        <v>3</v>
      </c>
      <c r="K458" s="359"/>
      <c r="L458" s="390"/>
      <c r="M458" s="446">
        <f t="shared" ref="M458:M480" si="53">SUM(J458,L458)</f>
        <v>3</v>
      </c>
      <c r="N458" s="415">
        <f>M458/$E$457</f>
        <v>1.5007503751875938E-3</v>
      </c>
      <c r="O458" s="417" t="s">
        <v>252</v>
      </c>
      <c r="P458" s="425">
        <v>211</v>
      </c>
      <c r="Q458" s="360" t="s">
        <v>187</v>
      </c>
    </row>
    <row r="459" spans="1:17" x14ac:dyDescent="0.25">
      <c r="A459" s="142"/>
      <c r="B459" s="143"/>
      <c r="C459" s="143"/>
      <c r="D459" s="143"/>
      <c r="E459" s="143"/>
      <c r="F459" s="143"/>
      <c r="G459" s="144"/>
      <c r="H459" s="144"/>
      <c r="I459" s="191"/>
      <c r="J459" s="497">
        <v>4</v>
      </c>
      <c r="K459" s="361"/>
      <c r="L459" s="391"/>
      <c r="M459" s="447">
        <f t="shared" si="53"/>
        <v>4</v>
      </c>
      <c r="N459" s="416">
        <f>M459/$E$457</f>
        <v>2.0010005002501249E-3</v>
      </c>
      <c r="O459" s="418" t="s">
        <v>87</v>
      </c>
      <c r="P459" s="426">
        <v>141</v>
      </c>
      <c r="Q459" s="362"/>
    </row>
    <row r="460" spans="1:17" x14ac:dyDescent="0.25">
      <c r="A460" s="142"/>
      <c r="B460" s="143"/>
      <c r="C460" s="143"/>
      <c r="D460" s="143"/>
      <c r="E460" s="143"/>
      <c r="F460" s="143"/>
      <c r="G460" s="144"/>
      <c r="H460" s="144"/>
      <c r="I460" s="191"/>
      <c r="J460" s="497"/>
      <c r="K460" s="363"/>
      <c r="L460" s="392"/>
      <c r="M460" s="447">
        <f t="shared" si="53"/>
        <v>0</v>
      </c>
      <c r="N460" s="416">
        <f t="shared" ref="N460:N479" si="54">M460/$E$457</f>
        <v>0</v>
      </c>
      <c r="O460" s="419" t="s">
        <v>7</v>
      </c>
      <c r="P460" s="427">
        <v>140</v>
      </c>
      <c r="Q460" s="362"/>
    </row>
    <row r="461" spans="1:17" x14ac:dyDescent="0.25">
      <c r="A461" s="142"/>
      <c r="B461" s="143"/>
      <c r="C461" s="143"/>
      <c r="D461" s="143"/>
      <c r="E461" s="143"/>
      <c r="F461" s="143"/>
      <c r="G461" s="144"/>
      <c r="H461" s="144"/>
      <c r="I461" s="191"/>
      <c r="J461" s="497"/>
      <c r="K461" s="361"/>
      <c r="L461" s="392"/>
      <c r="M461" s="447">
        <f t="shared" si="53"/>
        <v>0</v>
      </c>
      <c r="N461" s="416">
        <f t="shared" si="54"/>
        <v>0</v>
      </c>
      <c r="O461" s="419" t="s">
        <v>8</v>
      </c>
      <c r="P461" s="427">
        <v>210</v>
      </c>
      <c r="Q461" s="362"/>
    </row>
    <row r="462" spans="1:17" x14ac:dyDescent="0.25">
      <c r="A462" s="142"/>
      <c r="B462" s="143"/>
      <c r="C462" s="143"/>
      <c r="D462" s="143"/>
      <c r="E462" s="143"/>
      <c r="F462" s="143"/>
      <c r="G462" s="144"/>
      <c r="H462" s="144"/>
      <c r="I462" s="191"/>
      <c r="J462" s="497">
        <v>32</v>
      </c>
      <c r="K462" s="363"/>
      <c r="L462" s="392">
        <v>8</v>
      </c>
      <c r="M462" s="447">
        <f t="shared" si="53"/>
        <v>40</v>
      </c>
      <c r="N462" s="416">
        <f t="shared" si="54"/>
        <v>2.001000500250125E-2</v>
      </c>
      <c r="O462" s="418" t="s">
        <v>15</v>
      </c>
      <c r="P462" s="426">
        <v>355</v>
      </c>
      <c r="Q462" s="362"/>
    </row>
    <row r="463" spans="1:17" x14ac:dyDescent="0.25">
      <c r="A463" s="142"/>
      <c r="B463" s="143"/>
      <c r="C463" s="143"/>
      <c r="D463" s="143"/>
      <c r="E463" s="143"/>
      <c r="F463" s="143"/>
      <c r="G463" s="144"/>
      <c r="H463" s="144"/>
      <c r="I463" s="191"/>
      <c r="J463" s="497"/>
      <c r="K463" s="363"/>
      <c r="L463" s="392"/>
      <c r="M463" s="447">
        <f t="shared" si="53"/>
        <v>0</v>
      </c>
      <c r="N463" s="416">
        <f t="shared" si="54"/>
        <v>0</v>
      </c>
      <c r="O463" s="418" t="s">
        <v>393</v>
      </c>
      <c r="P463" s="426">
        <v>738</v>
      </c>
      <c r="Q463" s="362"/>
    </row>
    <row r="464" spans="1:17" x14ac:dyDescent="0.25">
      <c r="A464" s="142"/>
      <c r="B464" s="143"/>
      <c r="C464" s="143"/>
      <c r="D464" s="143"/>
      <c r="E464" s="143"/>
      <c r="F464" s="143"/>
      <c r="G464" s="144"/>
      <c r="H464" s="144"/>
      <c r="I464" s="191"/>
      <c r="J464" s="497"/>
      <c r="K464" s="363"/>
      <c r="L464" s="392">
        <v>1</v>
      </c>
      <c r="M464" s="447">
        <f t="shared" si="53"/>
        <v>1</v>
      </c>
      <c r="N464" s="416">
        <f t="shared" si="54"/>
        <v>5.0025012506253123E-4</v>
      </c>
      <c r="O464" s="418" t="s">
        <v>88</v>
      </c>
      <c r="P464" s="426">
        <v>737</v>
      </c>
      <c r="Q464" s="362"/>
    </row>
    <row r="465" spans="1:17" x14ac:dyDescent="0.25">
      <c r="A465" s="142"/>
      <c r="B465" s="143"/>
      <c r="C465" s="143"/>
      <c r="D465" s="143"/>
      <c r="E465" s="143"/>
      <c r="F465" s="143"/>
      <c r="G465" s="144"/>
      <c r="H465" s="144"/>
      <c r="I465" s="191"/>
      <c r="J465" s="497">
        <v>6</v>
      </c>
      <c r="K465" s="361"/>
      <c r="L465" s="392"/>
      <c r="M465" s="447">
        <f t="shared" si="53"/>
        <v>6</v>
      </c>
      <c r="N465" s="416">
        <f t="shared" si="54"/>
        <v>3.0015007503751876E-3</v>
      </c>
      <c r="O465" s="418" t="s">
        <v>447</v>
      </c>
      <c r="P465" s="426">
        <v>736</v>
      </c>
      <c r="Q465" s="362"/>
    </row>
    <row r="466" spans="1:17" x14ac:dyDescent="0.25">
      <c r="A466" s="142"/>
      <c r="B466" s="143"/>
      <c r="C466" s="143"/>
      <c r="D466" s="143"/>
      <c r="E466" s="143"/>
      <c r="F466" s="143"/>
      <c r="G466" s="144"/>
      <c r="H466" s="144"/>
      <c r="I466" s="191"/>
      <c r="J466" s="497">
        <v>5</v>
      </c>
      <c r="K466" s="363"/>
      <c r="L466" s="392">
        <v>1</v>
      </c>
      <c r="M466" s="447">
        <f t="shared" si="53"/>
        <v>6</v>
      </c>
      <c r="N466" s="416">
        <f t="shared" si="54"/>
        <v>3.0015007503751876E-3</v>
      </c>
      <c r="O466" s="418" t="s">
        <v>3</v>
      </c>
      <c r="P466" s="426">
        <v>44</v>
      </c>
      <c r="Q466" s="362"/>
    </row>
    <row r="467" spans="1:17" x14ac:dyDescent="0.25">
      <c r="A467" s="142"/>
      <c r="B467" s="143"/>
      <c r="C467" s="143"/>
      <c r="D467" s="143"/>
      <c r="E467" s="143"/>
      <c r="F467" s="143"/>
      <c r="G467" s="144"/>
      <c r="H467" s="144"/>
      <c r="I467" s="191"/>
      <c r="J467" s="497"/>
      <c r="K467" s="363"/>
      <c r="L467" s="392"/>
      <c r="M467" s="447">
        <f t="shared" si="53"/>
        <v>0</v>
      </c>
      <c r="N467" s="416">
        <f t="shared" si="54"/>
        <v>0</v>
      </c>
      <c r="O467" s="418" t="s">
        <v>19</v>
      </c>
      <c r="P467" s="426">
        <v>119</v>
      </c>
      <c r="Q467" s="362"/>
    </row>
    <row r="468" spans="1:17" x14ac:dyDescent="0.25">
      <c r="A468" s="142"/>
      <c r="B468" s="143"/>
      <c r="C468" s="143"/>
      <c r="D468" s="143"/>
      <c r="E468" s="143"/>
      <c r="F468" s="143"/>
      <c r="G468" s="144"/>
      <c r="H468" s="144"/>
      <c r="I468" s="191"/>
      <c r="J468" s="497"/>
      <c r="K468" s="364"/>
      <c r="L468" s="393"/>
      <c r="M468" s="447">
        <f t="shared" si="53"/>
        <v>0</v>
      </c>
      <c r="N468" s="416">
        <f t="shared" si="54"/>
        <v>0</v>
      </c>
      <c r="O468" s="418" t="s">
        <v>351</v>
      </c>
      <c r="P468" s="426">
        <v>739</v>
      </c>
      <c r="Q468" s="362"/>
    </row>
    <row r="469" spans="1:17" x14ac:dyDescent="0.25">
      <c r="A469" s="142"/>
      <c r="B469" s="143"/>
      <c r="C469" s="143"/>
      <c r="D469" s="143"/>
      <c r="E469" s="143"/>
      <c r="F469" s="143"/>
      <c r="G469" s="144"/>
      <c r="H469" s="144"/>
      <c r="I469" s="191"/>
      <c r="J469" s="497"/>
      <c r="K469" s="361"/>
      <c r="L469" s="392"/>
      <c r="M469" s="447">
        <f t="shared" si="53"/>
        <v>0</v>
      </c>
      <c r="N469" s="416">
        <f t="shared" si="54"/>
        <v>0</v>
      </c>
      <c r="O469" s="442" t="s">
        <v>108</v>
      </c>
      <c r="P469" s="426">
        <v>117</v>
      </c>
      <c r="Q469" s="362"/>
    </row>
    <row r="470" spans="1:17" x14ac:dyDescent="0.25">
      <c r="A470" s="142"/>
      <c r="B470" s="143"/>
      <c r="C470" s="143"/>
      <c r="D470" s="143"/>
      <c r="E470" s="143"/>
      <c r="F470" s="143"/>
      <c r="G470" s="144"/>
      <c r="H470" s="144"/>
      <c r="I470" s="191"/>
      <c r="J470" s="497"/>
      <c r="K470" s="361"/>
      <c r="L470" s="392"/>
      <c r="M470" s="447">
        <f t="shared" si="53"/>
        <v>0</v>
      </c>
      <c r="N470" s="416">
        <f t="shared" si="54"/>
        <v>0</v>
      </c>
      <c r="O470" s="418" t="s">
        <v>402</v>
      </c>
      <c r="P470" s="426">
        <v>319</v>
      </c>
      <c r="Q470" s="362"/>
    </row>
    <row r="471" spans="1:17" x14ac:dyDescent="0.25">
      <c r="A471" s="142"/>
      <c r="B471" s="143"/>
      <c r="C471" s="143"/>
      <c r="D471" s="143"/>
      <c r="E471" s="143"/>
      <c r="F471" s="143"/>
      <c r="G471" s="144"/>
      <c r="H471" s="144"/>
      <c r="I471" s="191"/>
      <c r="J471" s="497"/>
      <c r="K471" s="361"/>
      <c r="L471" s="392"/>
      <c r="M471" s="447">
        <f t="shared" si="53"/>
        <v>0</v>
      </c>
      <c r="N471" s="416">
        <f t="shared" si="54"/>
        <v>0</v>
      </c>
      <c r="O471" s="418" t="s">
        <v>256</v>
      </c>
      <c r="P471" s="426">
        <v>705</v>
      </c>
      <c r="Q471" s="362"/>
    </row>
    <row r="472" spans="1:17" x14ac:dyDescent="0.25">
      <c r="A472" s="142"/>
      <c r="B472" s="143"/>
      <c r="C472" s="143"/>
      <c r="D472" s="143"/>
      <c r="E472" s="143"/>
      <c r="F472" s="143"/>
      <c r="G472" s="144"/>
      <c r="H472" s="144"/>
      <c r="I472" s="191"/>
      <c r="J472" s="497"/>
      <c r="K472" s="361"/>
      <c r="L472" s="392"/>
      <c r="M472" s="447">
        <f t="shared" si="53"/>
        <v>0</v>
      </c>
      <c r="N472" s="416">
        <f t="shared" si="54"/>
        <v>0</v>
      </c>
      <c r="O472" s="418" t="s">
        <v>27</v>
      </c>
      <c r="P472" s="426">
        <v>58</v>
      </c>
      <c r="Q472" s="362"/>
    </row>
    <row r="473" spans="1:17" x14ac:dyDescent="0.25">
      <c r="A473" s="142"/>
      <c r="B473" s="143"/>
      <c r="C473" s="143"/>
      <c r="D473" s="143"/>
      <c r="E473" s="143"/>
      <c r="F473" s="143"/>
      <c r="G473" s="144"/>
      <c r="H473" s="144"/>
      <c r="I473" s="191"/>
      <c r="J473" s="497"/>
      <c r="K473" s="361"/>
      <c r="L473" s="392"/>
      <c r="M473" s="447">
        <f t="shared" si="53"/>
        <v>0</v>
      </c>
      <c r="N473" s="416">
        <f t="shared" si="54"/>
        <v>0</v>
      </c>
      <c r="O473" s="418" t="s">
        <v>200</v>
      </c>
      <c r="P473" s="426">
        <v>70</v>
      </c>
      <c r="Q473" s="362"/>
    </row>
    <row r="474" spans="1:17" x14ac:dyDescent="0.25">
      <c r="A474" s="142"/>
      <c r="B474" s="143"/>
      <c r="C474" s="143"/>
      <c r="D474" s="143"/>
      <c r="E474" s="143"/>
      <c r="F474" s="143"/>
      <c r="G474" s="144"/>
      <c r="H474" s="144"/>
      <c r="I474" s="191"/>
      <c r="J474" s="497"/>
      <c r="K474" s="378"/>
      <c r="L474" s="394"/>
      <c r="M474" s="447">
        <f t="shared" si="53"/>
        <v>0</v>
      </c>
      <c r="N474" s="416">
        <f t="shared" si="54"/>
        <v>0</v>
      </c>
      <c r="O474" s="418" t="s">
        <v>356</v>
      </c>
      <c r="P474" s="426">
        <v>265</v>
      </c>
      <c r="Q474" s="362"/>
    </row>
    <row r="475" spans="1:17" x14ac:dyDescent="0.25">
      <c r="A475" s="142"/>
      <c r="B475" s="143"/>
      <c r="C475" s="143"/>
      <c r="D475" s="143" t="s">
        <v>100</v>
      </c>
      <c r="E475" s="143"/>
      <c r="F475" s="143"/>
      <c r="G475" s="144"/>
      <c r="H475" s="144"/>
      <c r="I475" s="191"/>
      <c r="J475" s="497"/>
      <c r="K475" s="361"/>
      <c r="L475" s="392"/>
      <c r="M475" s="447">
        <f t="shared" si="53"/>
        <v>0</v>
      </c>
      <c r="N475" s="416">
        <f t="shared" si="54"/>
        <v>0</v>
      </c>
      <c r="O475" s="418" t="s">
        <v>71</v>
      </c>
      <c r="P475" s="426">
        <v>388</v>
      </c>
      <c r="Q475" s="362"/>
    </row>
    <row r="476" spans="1:17" x14ac:dyDescent="0.25">
      <c r="A476" s="142"/>
      <c r="B476" s="143"/>
      <c r="C476" s="143"/>
      <c r="D476" s="143"/>
      <c r="E476" s="143"/>
      <c r="F476" s="143"/>
      <c r="G476" s="144"/>
      <c r="H476" s="144"/>
      <c r="I476" s="191"/>
      <c r="J476" s="497"/>
      <c r="K476" s="361"/>
      <c r="L476" s="392"/>
      <c r="M476" s="447">
        <f t="shared" si="53"/>
        <v>0</v>
      </c>
      <c r="N476" s="416">
        <f t="shared" si="54"/>
        <v>0</v>
      </c>
      <c r="O476" s="418" t="s">
        <v>163</v>
      </c>
      <c r="P476" s="426">
        <v>679</v>
      </c>
      <c r="Q476" s="362"/>
    </row>
    <row r="477" spans="1:17" x14ac:dyDescent="0.25">
      <c r="A477" s="142"/>
      <c r="B477" s="143"/>
      <c r="C477" s="143"/>
      <c r="D477" s="143"/>
      <c r="E477" s="143"/>
      <c r="F477" s="143"/>
      <c r="G477" s="144"/>
      <c r="H477" s="144"/>
      <c r="I477" s="191"/>
      <c r="J477" s="487">
        <v>2</v>
      </c>
      <c r="K477" s="361"/>
      <c r="L477" s="392"/>
      <c r="M477" s="447">
        <f t="shared" si="53"/>
        <v>2</v>
      </c>
      <c r="N477" s="416">
        <f t="shared" si="54"/>
        <v>1.0005002501250625E-3</v>
      </c>
      <c r="O477" s="418" t="s">
        <v>85</v>
      </c>
      <c r="P477" s="426">
        <v>43</v>
      </c>
      <c r="Q477" s="362"/>
    </row>
    <row r="478" spans="1:17" x14ac:dyDescent="0.25">
      <c r="A478" s="142"/>
      <c r="B478" s="143"/>
      <c r="C478" s="143"/>
      <c r="D478" s="143"/>
      <c r="E478" s="143"/>
      <c r="F478" s="143"/>
      <c r="G478" s="144"/>
      <c r="H478" s="144"/>
      <c r="I478" s="191"/>
      <c r="J478" s="487">
        <v>7</v>
      </c>
      <c r="K478" s="361"/>
      <c r="L478" s="392"/>
      <c r="M478" s="447">
        <f t="shared" si="53"/>
        <v>7</v>
      </c>
      <c r="N478" s="416">
        <f t="shared" si="54"/>
        <v>3.5017508754377189E-3</v>
      </c>
      <c r="O478" s="405" t="s">
        <v>80</v>
      </c>
      <c r="P478" s="422">
        <v>46</v>
      </c>
      <c r="Q478" s="362"/>
    </row>
    <row r="479" spans="1:17" x14ac:dyDescent="0.25">
      <c r="A479" s="142"/>
      <c r="B479" s="143"/>
      <c r="C479" s="143"/>
      <c r="D479" s="143"/>
      <c r="E479" s="143"/>
      <c r="F479" s="143"/>
      <c r="G479" s="144"/>
      <c r="H479" s="144"/>
      <c r="I479" s="191"/>
      <c r="J479" s="385">
        <v>1</v>
      </c>
      <c r="K479" s="361"/>
      <c r="L479" s="392"/>
      <c r="M479" s="447">
        <f t="shared" si="53"/>
        <v>1</v>
      </c>
      <c r="N479" s="416">
        <f t="shared" si="54"/>
        <v>5.0025012506253123E-4</v>
      </c>
      <c r="O479" s="418" t="s">
        <v>448</v>
      </c>
      <c r="P479" s="519">
        <v>159</v>
      </c>
      <c r="Q479" s="362"/>
    </row>
    <row r="480" spans="1:17" ht="15.75" thickBot="1" x14ac:dyDescent="0.3">
      <c r="A480" s="142"/>
      <c r="B480" s="143"/>
      <c r="C480" s="143"/>
      <c r="D480" s="143"/>
      <c r="E480" s="143"/>
      <c r="F480" s="143"/>
      <c r="G480" s="144"/>
      <c r="H480" s="144"/>
      <c r="I480" s="191"/>
      <c r="J480" s="495"/>
      <c r="K480" s="363"/>
      <c r="L480" s="392"/>
      <c r="M480" s="447">
        <f t="shared" si="53"/>
        <v>0</v>
      </c>
      <c r="N480" s="453">
        <f>M480/$E$457</f>
        <v>0</v>
      </c>
      <c r="O480" s="420" t="s">
        <v>277</v>
      </c>
      <c r="P480" s="428">
        <v>65</v>
      </c>
      <c r="Q480" s="362"/>
    </row>
    <row r="481" spans="1:17" ht="15.75" thickBot="1" x14ac:dyDescent="0.3">
      <c r="A481" s="142"/>
      <c r="B481" s="143"/>
      <c r="C481" s="143"/>
      <c r="D481" s="143"/>
      <c r="E481" s="143"/>
      <c r="F481" s="143"/>
      <c r="G481" s="144"/>
      <c r="H481" s="144"/>
      <c r="I481" s="192"/>
      <c r="J481" s="367"/>
      <c r="K481" s="367"/>
      <c r="L481" s="368"/>
      <c r="M481" s="369"/>
      <c r="N481" s="369"/>
      <c r="O481" s="424" t="s">
        <v>251</v>
      </c>
      <c r="P481" s="375"/>
      <c r="Q481" s="362"/>
    </row>
    <row r="482" spans="1:17" x14ac:dyDescent="0.25">
      <c r="A482" s="142"/>
      <c r="B482" s="143"/>
      <c r="C482" s="143"/>
      <c r="D482" s="143"/>
      <c r="E482" s="143"/>
      <c r="F482" s="143"/>
      <c r="G482" s="144"/>
      <c r="H482" s="144"/>
      <c r="I482" s="191"/>
      <c r="J482" s="494">
        <v>4</v>
      </c>
      <c r="K482" s="494"/>
      <c r="L482" s="533"/>
      <c r="M482" s="534">
        <f>SUM(J482,L482)</f>
        <v>4</v>
      </c>
      <c r="N482" s="538">
        <f>M482/$E$457</f>
        <v>2.0010005002501249E-3</v>
      </c>
      <c r="O482" s="468" t="s">
        <v>91</v>
      </c>
      <c r="P482" s="443">
        <v>159</v>
      </c>
      <c r="Q482" s="439"/>
    </row>
    <row r="483" spans="1:17" x14ac:dyDescent="0.25">
      <c r="A483" s="142"/>
      <c r="B483" s="143"/>
      <c r="C483" s="143"/>
      <c r="D483" s="143"/>
      <c r="E483" s="143"/>
      <c r="F483" s="143"/>
      <c r="G483" s="144"/>
      <c r="H483" s="144"/>
      <c r="I483" s="191"/>
      <c r="J483" s="487">
        <v>19</v>
      </c>
      <c r="K483" s="487">
        <v>3</v>
      </c>
      <c r="L483" s="463"/>
      <c r="M483" s="535">
        <f>SUM(J483,L483)</f>
        <v>19</v>
      </c>
      <c r="N483" s="539">
        <f>M483/$E$457</f>
        <v>9.5047523761880946E-3</v>
      </c>
      <c r="O483" s="469" t="s">
        <v>9</v>
      </c>
      <c r="P483" s="444">
        <v>331</v>
      </c>
      <c r="Q483" s="439"/>
    </row>
    <row r="484" spans="1:17" x14ac:dyDescent="0.25">
      <c r="A484" s="142"/>
      <c r="B484" s="143"/>
      <c r="C484" s="143"/>
      <c r="D484" s="143"/>
      <c r="E484" s="143"/>
      <c r="F484" s="143"/>
      <c r="G484" s="144"/>
      <c r="H484" s="144"/>
      <c r="I484" s="191"/>
      <c r="J484" s="487">
        <v>6</v>
      </c>
      <c r="K484" s="487"/>
      <c r="L484" s="463"/>
      <c r="M484" s="535">
        <f t="shared" ref="M484:M494" si="55">SUM(J484,L484)</f>
        <v>6</v>
      </c>
      <c r="N484" s="539">
        <f t="shared" ref="N484:N494" si="56">M484/$E$457</f>
        <v>3.0015007503751876E-3</v>
      </c>
      <c r="O484" s="466" t="s">
        <v>94</v>
      </c>
      <c r="P484" s="422">
        <v>265</v>
      </c>
      <c r="Q484" s="439"/>
    </row>
    <row r="485" spans="1:17" x14ac:dyDescent="0.25">
      <c r="A485" s="142"/>
      <c r="B485" s="143"/>
      <c r="C485" s="143"/>
      <c r="D485" s="143"/>
      <c r="E485" s="143"/>
      <c r="F485" s="143"/>
      <c r="G485" s="144"/>
      <c r="H485" s="144"/>
      <c r="I485" s="191"/>
      <c r="J485" s="487">
        <v>2</v>
      </c>
      <c r="K485" s="487"/>
      <c r="L485" s="463"/>
      <c r="M485" s="535">
        <f t="shared" si="55"/>
        <v>2</v>
      </c>
      <c r="N485" s="539">
        <f t="shared" si="56"/>
        <v>1.0005002501250625E-3</v>
      </c>
      <c r="O485" s="469" t="s">
        <v>92</v>
      </c>
      <c r="P485" s="444">
        <v>159</v>
      </c>
      <c r="Q485" s="460"/>
    </row>
    <row r="486" spans="1:17" x14ac:dyDescent="0.25">
      <c r="A486" s="142"/>
      <c r="B486" s="143"/>
      <c r="C486" s="143"/>
      <c r="D486" s="143"/>
      <c r="E486" s="143"/>
      <c r="F486" s="143"/>
      <c r="G486" s="144"/>
      <c r="H486" s="144"/>
      <c r="I486" s="191"/>
      <c r="J486" s="487"/>
      <c r="K486" s="487"/>
      <c r="L486" s="463"/>
      <c r="M486" s="535">
        <f t="shared" si="55"/>
        <v>0</v>
      </c>
      <c r="N486" s="539">
        <f t="shared" si="56"/>
        <v>0</v>
      </c>
      <c r="O486" s="467" t="s">
        <v>374</v>
      </c>
      <c r="P486" s="444">
        <v>73</v>
      </c>
      <c r="Q486" s="460"/>
    </row>
    <row r="487" spans="1:17" x14ac:dyDescent="0.25">
      <c r="A487" s="142"/>
      <c r="B487" s="143"/>
      <c r="C487" s="143"/>
      <c r="D487" s="143"/>
      <c r="E487" s="143"/>
      <c r="F487" s="143"/>
      <c r="G487" s="144"/>
      <c r="H487" s="144"/>
      <c r="I487" s="191"/>
      <c r="J487" s="487"/>
      <c r="K487" s="487"/>
      <c r="L487" s="463">
        <v>1</v>
      </c>
      <c r="M487" s="535">
        <f t="shared" si="55"/>
        <v>1</v>
      </c>
      <c r="N487" s="539">
        <f t="shared" si="56"/>
        <v>5.0025012506253123E-4</v>
      </c>
      <c r="O487" s="467" t="s">
        <v>35</v>
      </c>
      <c r="P487" s="444">
        <v>65</v>
      </c>
      <c r="Q487" s="460"/>
    </row>
    <row r="488" spans="1:17" x14ac:dyDescent="0.25">
      <c r="A488" s="142"/>
      <c r="B488" s="143"/>
      <c r="C488" s="143"/>
      <c r="D488" s="143"/>
      <c r="E488" s="143"/>
      <c r="F488" s="143"/>
      <c r="G488" s="144"/>
      <c r="H488" s="144"/>
      <c r="I488" s="191"/>
      <c r="J488" s="487"/>
      <c r="K488" s="487"/>
      <c r="L488" s="463">
        <v>3</v>
      </c>
      <c r="M488" s="535">
        <f t="shared" si="55"/>
        <v>3</v>
      </c>
      <c r="N488" s="539">
        <f t="shared" si="56"/>
        <v>1.5007503751875938E-3</v>
      </c>
      <c r="O488" s="466" t="s">
        <v>80</v>
      </c>
      <c r="P488" s="422">
        <v>46</v>
      </c>
      <c r="Q488" s="439" t="s">
        <v>456</v>
      </c>
    </row>
    <row r="489" spans="1:17" x14ac:dyDescent="0.25">
      <c r="A489" s="142"/>
      <c r="B489" s="143"/>
      <c r="C489" s="143"/>
      <c r="D489" s="143"/>
      <c r="E489" s="143"/>
      <c r="F489" s="143"/>
      <c r="G489" s="144"/>
      <c r="H489" s="144"/>
      <c r="I489" s="191"/>
      <c r="J489" s="487">
        <v>42</v>
      </c>
      <c r="K489" s="487"/>
      <c r="L489" s="463"/>
      <c r="M489" s="535">
        <f t="shared" si="55"/>
        <v>42</v>
      </c>
      <c r="N489" s="539">
        <f t="shared" si="56"/>
        <v>2.1010505252626314E-2</v>
      </c>
      <c r="O489" s="469" t="s">
        <v>93</v>
      </c>
      <c r="P489" s="444">
        <v>159</v>
      </c>
      <c r="Q489" s="460"/>
    </row>
    <row r="490" spans="1:17" x14ac:dyDescent="0.25">
      <c r="A490" s="142"/>
      <c r="B490" s="143"/>
      <c r="C490" s="143"/>
      <c r="D490" s="143"/>
      <c r="E490" s="143"/>
      <c r="F490" s="143"/>
      <c r="G490" s="144"/>
      <c r="H490" s="144"/>
      <c r="I490" s="191"/>
      <c r="J490" s="487">
        <v>7</v>
      </c>
      <c r="K490" s="487"/>
      <c r="L490" s="463"/>
      <c r="M490" s="535">
        <f t="shared" si="55"/>
        <v>7</v>
      </c>
      <c r="N490" s="539">
        <f t="shared" si="56"/>
        <v>3.5017508754377189E-3</v>
      </c>
      <c r="O490" s="469" t="s">
        <v>90</v>
      </c>
      <c r="P490" s="444">
        <v>159</v>
      </c>
      <c r="Q490" s="439"/>
    </row>
    <row r="491" spans="1:17" x14ac:dyDescent="0.25">
      <c r="A491" s="142"/>
      <c r="B491" s="143"/>
      <c r="C491" s="143"/>
      <c r="D491" s="143"/>
      <c r="E491" s="143"/>
      <c r="F491" s="143"/>
      <c r="G491" s="144"/>
      <c r="H491" s="144"/>
      <c r="I491" s="191"/>
      <c r="J491" s="487">
        <v>1</v>
      </c>
      <c r="K491" s="487"/>
      <c r="L491" s="463">
        <v>1</v>
      </c>
      <c r="M491" s="535">
        <f t="shared" si="55"/>
        <v>2</v>
      </c>
      <c r="N491" s="539">
        <f t="shared" si="56"/>
        <v>1.0005002501250625E-3</v>
      </c>
      <c r="O491" s="470" t="s">
        <v>109</v>
      </c>
      <c r="P491" s="426">
        <v>624</v>
      </c>
      <c r="Q491" s="439"/>
    </row>
    <row r="492" spans="1:17" x14ac:dyDescent="0.25">
      <c r="A492" s="142"/>
      <c r="B492" s="143"/>
      <c r="C492" s="143"/>
      <c r="D492" s="143"/>
      <c r="E492" s="143"/>
      <c r="F492" s="143"/>
      <c r="G492" s="144"/>
      <c r="H492" s="144"/>
      <c r="I492" s="191"/>
      <c r="J492" s="487"/>
      <c r="K492" s="487">
        <v>5</v>
      </c>
      <c r="L492" s="463"/>
      <c r="M492" s="535">
        <f t="shared" si="55"/>
        <v>0</v>
      </c>
      <c r="N492" s="539">
        <f t="shared" si="56"/>
        <v>0</v>
      </c>
      <c r="O492" s="470" t="s">
        <v>449</v>
      </c>
      <c r="P492" s="426">
        <v>159</v>
      </c>
      <c r="Q492" s="439"/>
    </row>
    <row r="493" spans="1:17" x14ac:dyDescent="0.25">
      <c r="A493" s="142"/>
      <c r="B493" s="143"/>
      <c r="C493" s="143"/>
      <c r="D493" s="143"/>
      <c r="E493" s="143"/>
      <c r="F493" s="143"/>
      <c r="G493" s="144"/>
      <c r="H493" s="144"/>
      <c r="I493" s="191"/>
      <c r="J493" s="487">
        <v>6</v>
      </c>
      <c r="K493" s="487"/>
      <c r="L493" s="463"/>
      <c r="M493" s="535">
        <f t="shared" si="55"/>
        <v>6</v>
      </c>
      <c r="N493" s="539">
        <f t="shared" si="56"/>
        <v>3.0015007503751876E-3</v>
      </c>
      <c r="O493" s="470" t="s">
        <v>375</v>
      </c>
      <c r="P493" s="426">
        <v>159</v>
      </c>
      <c r="Q493" s="362" t="s">
        <v>380</v>
      </c>
    </row>
    <row r="494" spans="1:17" x14ac:dyDescent="0.25">
      <c r="A494" s="142"/>
      <c r="B494" s="143"/>
      <c r="C494" s="143"/>
      <c r="D494" s="143"/>
      <c r="E494" s="143"/>
      <c r="F494" s="143"/>
      <c r="G494" s="144"/>
      <c r="H494" s="144"/>
      <c r="I494" s="191"/>
      <c r="J494" s="487">
        <v>7</v>
      </c>
      <c r="K494" s="487"/>
      <c r="L494" s="463"/>
      <c r="M494" s="535">
        <f t="shared" si="55"/>
        <v>7</v>
      </c>
      <c r="N494" s="539">
        <f t="shared" si="56"/>
        <v>3.5017508754377189E-3</v>
      </c>
      <c r="O494" s="470" t="s">
        <v>376</v>
      </c>
      <c r="P494" s="426">
        <v>159</v>
      </c>
      <c r="Q494" s="362" t="s">
        <v>405</v>
      </c>
    </row>
    <row r="495" spans="1:17" ht="15.75" thickBot="1" x14ac:dyDescent="0.3">
      <c r="A495" s="142"/>
      <c r="B495" s="143"/>
      <c r="C495" s="143"/>
      <c r="D495" s="143"/>
      <c r="E495" s="143"/>
      <c r="F495" s="143"/>
      <c r="G495" s="144"/>
      <c r="H495" s="144"/>
      <c r="I495" s="191"/>
      <c r="J495" s="495"/>
      <c r="K495" s="495"/>
      <c r="L495" s="513"/>
      <c r="M495" s="536">
        <f>SUM(J495,L495)</f>
        <v>0</v>
      </c>
      <c r="N495" s="540">
        <f>M495/$E$457</f>
        <v>0</v>
      </c>
      <c r="O495" s="537" t="s">
        <v>181</v>
      </c>
      <c r="P495" s="445">
        <v>159</v>
      </c>
      <c r="Q495" s="439"/>
    </row>
    <row r="496" spans="1:17" ht="15.75" thickBot="1" x14ac:dyDescent="0.3">
      <c r="A496" s="142"/>
      <c r="B496" s="143"/>
      <c r="C496" s="143"/>
      <c r="D496" s="143"/>
      <c r="E496" s="143"/>
      <c r="F496" s="143"/>
      <c r="G496" s="144"/>
      <c r="H496" s="144"/>
      <c r="I496" s="192"/>
      <c r="J496" s="372"/>
      <c r="K496" s="372"/>
      <c r="L496" s="373"/>
      <c r="M496" s="518"/>
      <c r="N496" s="374"/>
      <c r="O496" s="526" t="s">
        <v>257</v>
      </c>
      <c r="P496" s="375"/>
      <c r="Q496" s="362"/>
    </row>
    <row r="497" spans="1:17" x14ac:dyDescent="0.25">
      <c r="A497" s="142"/>
      <c r="B497" s="143"/>
      <c r="C497" s="143"/>
      <c r="D497" s="143"/>
      <c r="E497" s="143"/>
      <c r="F497" s="143"/>
      <c r="G497" s="144"/>
      <c r="H497" s="144"/>
      <c r="I497" s="192"/>
      <c r="J497" s="527">
        <v>8</v>
      </c>
      <c r="K497" s="528"/>
      <c r="L497" s="529"/>
      <c r="M497" s="502">
        <f>SUM(J497,L497)</f>
        <v>8</v>
      </c>
      <c r="N497" s="462">
        <f>M497/$E$457</f>
        <v>4.0020010005002498E-3</v>
      </c>
      <c r="O497" s="530" t="s">
        <v>71</v>
      </c>
      <c r="P497" s="421">
        <v>388</v>
      </c>
      <c r="Q497" s="362"/>
    </row>
    <row r="498" spans="1:17" x14ac:dyDescent="0.25">
      <c r="A498" s="142"/>
      <c r="B498" s="143"/>
      <c r="C498" s="143"/>
      <c r="D498" s="143"/>
      <c r="E498" s="143"/>
      <c r="F498" s="143"/>
      <c r="G498" s="144"/>
      <c r="H498" s="144"/>
      <c r="I498" s="192"/>
      <c r="J498" s="370"/>
      <c r="K498" s="387"/>
      <c r="L498" s="516"/>
      <c r="M498" s="503">
        <f t="shared" ref="M498:M519" si="57">SUM(J498,L498)</f>
        <v>0</v>
      </c>
      <c r="N498" s="501">
        <f>M498/$E$457</f>
        <v>0</v>
      </c>
      <c r="O498" s="405" t="s">
        <v>174</v>
      </c>
      <c r="P498" s="422">
        <v>734</v>
      </c>
      <c r="Q498" s="362"/>
    </row>
    <row r="499" spans="1:17" x14ac:dyDescent="0.25">
      <c r="A499" s="142"/>
      <c r="B499" s="143"/>
      <c r="C499" s="143"/>
      <c r="D499" s="143"/>
      <c r="E499" s="143"/>
      <c r="F499" s="143"/>
      <c r="G499" s="144"/>
      <c r="H499" s="144"/>
      <c r="I499" s="192"/>
      <c r="J499" s="370">
        <v>5</v>
      </c>
      <c r="K499" s="387"/>
      <c r="L499" s="516"/>
      <c r="M499" s="503">
        <f t="shared" si="57"/>
        <v>5</v>
      </c>
      <c r="N499" s="501">
        <f t="shared" ref="N499:N518" si="58">M499/$E$457</f>
        <v>2.5012506253126563E-3</v>
      </c>
      <c r="O499" s="405" t="s">
        <v>117</v>
      </c>
      <c r="P499" s="422">
        <v>735</v>
      </c>
      <c r="Q499" s="362"/>
    </row>
    <row r="500" spans="1:17" x14ac:dyDescent="0.25">
      <c r="A500" s="142"/>
      <c r="B500" s="143"/>
      <c r="C500" s="143"/>
      <c r="D500" s="143"/>
      <c r="E500" s="143"/>
      <c r="F500" s="143"/>
      <c r="G500" s="144"/>
      <c r="H500" s="144"/>
      <c r="I500" s="192"/>
      <c r="J500" s="370"/>
      <c r="K500" s="387"/>
      <c r="L500" s="516"/>
      <c r="M500" s="503">
        <f t="shared" si="57"/>
        <v>0</v>
      </c>
      <c r="N500" s="501">
        <f t="shared" si="58"/>
        <v>0</v>
      </c>
      <c r="O500" s="405" t="s">
        <v>346</v>
      </c>
      <c r="P500" s="422">
        <v>43</v>
      </c>
      <c r="Q500" s="362"/>
    </row>
    <row r="501" spans="1:17" x14ac:dyDescent="0.25">
      <c r="A501" s="142"/>
      <c r="B501" s="143"/>
      <c r="C501" s="143"/>
      <c r="D501" s="143"/>
      <c r="E501" s="143"/>
      <c r="F501" s="143"/>
      <c r="G501" s="144"/>
      <c r="H501" s="144"/>
      <c r="I501" s="145"/>
      <c r="J501" s="370"/>
      <c r="K501" s="387"/>
      <c r="L501" s="516"/>
      <c r="M501" s="503">
        <f t="shared" si="57"/>
        <v>0</v>
      </c>
      <c r="N501" s="501">
        <f t="shared" si="58"/>
        <v>0</v>
      </c>
      <c r="O501" s="405" t="s">
        <v>177</v>
      </c>
      <c r="P501" s="422">
        <v>736</v>
      </c>
      <c r="Q501" s="362"/>
    </row>
    <row r="502" spans="1:17" x14ac:dyDescent="0.25">
      <c r="A502" s="142"/>
      <c r="B502" s="143"/>
      <c r="C502" s="143"/>
      <c r="D502" s="143"/>
      <c r="E502" s="143"/>
      <c r="F502" s="143"/>
      <c r="G502" s="144"/>
      <c r="H502" s="144"/>
      <c r="I502" s="145"/>
      <c r="J502" s="379">
        <v>2</v>
      </c>
      <c r="K502" s="387"/>
      <c r="L502" s="516"/>
      <c r="M502" s="503">
        <f t="shared" si="57"/>
        <v>2</v>
      </c>
      <c r="N502" s="501">
        <f t="shared" si="58"/>
        <v>1.0005002501250625E-3</v>
      </c>
      <c r="O502" s="405" t="s">
        <v>450</v>
      </c>
      <c r="P502" s="422">
        <v>736</v>
      </c>
      <c r="Q502" s="362"/>
    </row>
    <row r="503" spans="1:17" x14ac:dyDescent="0.25">
      <c r="A503" s="142"/>
      <c r="B503" s="143"/>
      <c r="C503" s="143"/>
      <c r="D503" s="143"/>
      <c r="E503" s="143"/>
      <c r="F503" s="143"/>
      <c r="G503" s="144"/>
      <c r="H503" s="144"/>
      <c r="I503" s="145"/>
      <c r="J503" s="379"/>
      <c r="K503" s="387"/>
      <c r="L503" s="516"/>
      <c r="M503" s="503">
        <f t="shared" si="57"/>
        <v>0</v>
      </c>
      <c r="N503" s="501">
        <f t="shared" si="58"/>
        <v>0</v>
      </c>
      <c r="O503" s="405" t="s">
        <v>93</v>
      </c>
      <c r="P503" s="422">
        <v>159</v>
      </c>
      <c r="Q503" s="362"/>
    </row>
    <row r="504" spans="1:17" x14ac:dyDescent="0.25">
      <c r="A504" s="142"/>
      <c r="B504" s="143"/>
      <c r="C504" s="143"/>
      <c r="D504" s="143"/>
      <c r="E504" s="143"/>
      <c r="F504" s="143"/>
      <c r="G504" s="144"/>
      <c r="H504" s="144"/>
      <c r="I504" s="145"/>
      <c r="J504" s="379">
        <v>51</v>
      </c>
      <c r="K504" s="387"/>
      <c r="L504" s="515"/>
      <c r="M504" s="503">
        <f t="shared" si="57"/>
        <v>51</v>
      </c>
      <c r="N504" s="501">
        <f t="shared" si="58"/>
        <v>2.5512756378189096E-2</v>
      </c>
      <c r="O504" s="442" t="s">
        <v>108</v>
      </c>
      <c r="P504" s="422">
        <v>117</v>
      </c>
      <c r="Q504" s="362"/>
    </row>
    <row r="505" spans="1:17" x14ac:dyDescent="0.25">
      <c r="A505" s="142"/>
      <c r="B505" s="143"/>
      <c r="C505" s="143"/>
      <c r="D505" s="143"/>
      <c r="E505" s="143"/>
      <c r="F505" s="143"/>
      <c r="G505" s="144"/>
      <c r="H505" s="144"/>
      <c r="I505" s="145"/>
      <c r="J505" s="379">
        <v>11</v>
      </c>
      <c r="K505" s="387"/>
      <c r="L505" s="515"/>
      <c r="M505" s="503">
        <f t="shared" si="57"/>
        <v>11</v>
      </c>
      <c r="N505" s="501">
        <f t="shared" si="58"/>
        <v>5.5027513756878439E-3</v>
      </c>
      <c r="O505" s="405" t="s">
        <v>118</v>
      </c>
      <c r="P505" s="422">
        <v>665</v>
      </c>
      <c r="Q505" s="362"/>
    </row>
    <row r="506" spans="1:17" x14ac:dyDescent="0.25">
      <c r="A506" s="142"/>
      <c r="B506" s="143"/>
      <c r="C506" s="143"/>
      <c r="D506" s="143"/>
      <c r="E506" s="143"/>
      <c r="F506" s="143"/>
      <c r="G506" s="144"/>
      <c r="H506" s="144"/>
      <c r="I506" s="145"/>
      <c r="J506" s="379"/>
      <c r="K506" s="387"/>
      <c r="L506" s="516"/>
      <c r="M506" s="503">
        <f t="shared" si="57"/>
        <v>0</v>
      </c>
      <c r="N506" s="501">
        <f t="shared" si="58"/>
        <v>0</v>
      </c>
      <c r="O506" s="405" t="s">
        <v>345</v>
      </c>
      <c r="P506" s="422">
        <v>65</v>
      </c>
      <c r="Q506" s="362"/>
    </row>
    <row r="507" spans="1:17" x14ac:dyDescent="0.25">
      <c r="A507" s="142"/>
      <c r="B507" s="143"/>
      <c r="C507" s="143"/>
      <c r="D507" s="143"/>
      <c r="E507" s="143"/>
      <c r="F507" s="143"/>
      <c r="G507" s="144"/>
      <c r="H507" s="144"/>
      <c r="I507" s="145"/>
      <c r="J507" s="379">
        <v>2</v>
      </c>
      <c r="K507" s="387"/>
      <c r="L507" s="516"/>
      <c r="M507" s="503">
        <f t="shared" si="57"/>
        <v>2</v>
      </c>
      <c r="N507" s="501">
        <f t="shared" si="58"/>
        <v>1.0005002501250625E-3</v>
      </c>
      <c r="O507" s="405" t="s">
        <v>353</v>
      </c>
      <c r="P507" s="422">
        <v>65</v>
      </c>
      <c r="Q507" s="362"/>
    </row>
    <row r="508" spans="1:17" x14ac:dyDescent="0.25">
      <c r="A508" s="142"/>
      <c r="B508" s="143"/>
      <c r="C508" s="143"/>
      <c r="D508" s="143"/>
      <c r="E508" s="143"/>
      <c r="F508" s="143"/>
      <c r="G508" s="144"/>
      <c r="H508" s="144"/>
      <c r="I508" s="145"/>
      <c r="J508" s="379">
        <v>1</v>
      </c>
      <c r="K508" s="387"/>
      <c r="L508" s="516"/>
      <c r="M508" s="503">
        <f t="shared" si="57"/>
        <v>1</v>
      </c>
      <c r="N508" s="501">
        <f t="shared" si="58"/>
        <v>5.0025012506253123E-4</v>
      </c>
      <c r="O508" s="405" t="s">
        <v>26</v>
      </c>
      <c r="P508" s="422">
        <v>164</v>
      </c>
      <c r="Q508" s="362"/>
    </row>
    <row r="509" spans="1:17" x14ac:dyDescent="0.25">
      <c r="A509" s="142"/>
      <c r="B509" s="143"/>
      <c r="C509" s="143"/>
      <c r="D509" s="143"/>
      <c r="E509" s="143"/>
      <c r="F509" s="143"/>
      <c r="G509" s="144"/>
      <c r="H509" s="144"/>
      <c r="I509" s="145"/>
      <c r="J509" s="379">
        <v>14</v>
      </c>
      <c r="K509" s="387"/>
      <c r="L509" s="516"/>
      <c r="M509" s="503">
        <f>SUM(J509,L509)</f>
        <v>14</v>
      </c>
      <c r="N509" s="501">
        <f t="shared" si="58"/>
        <v>7.0035017508754379E-3</v>
      </c>
      <c r="O509" s="405" t="s">
        <v>452</v>
      </c>
      <c r="P509" s="422">
        <v>65</v>
      </c>
      <c r="Q509" s="362"/>
    </row>
    <row r="510" spans="1:17" x14ac:dyDescent="0.25">
      <c r="A510" s="142"/>
      <c r="B510" s="143"/>
      <c r="C510" s="143"/>
      <c r="D510" s="143"/>
      <c r="E510" s="143"/>
      <c r="F510" s="143"/>
      <c r="G510" s="144"/>
      <c r="H510" s="144"/>
      <c r="I510" s="145"/>
      <c r="J510" s="379"/>
      <c r="K510" s="387"/>
      <c r="L510" s="516"/>
      <c r="M510" s="503">
        <f>SUM(J510,L510)</f>
        <v>0</v>
      </c>
      <c r="N510" s="501">
        <f t="shared" si="58"/>
        <v>0</v>
      </c>
      <c r="O510" s="405" t="s">
        <v>381</v>
      </c>
      <c r="P510" s="422">
        <v>65</v>
      </c>
      <c r="Q510" s="362"/>
    </row>
    <row r="511" spans="1:17" x14ac:dyDescent="0.25">
      <c r="A511" s="142"/>
      <c r="B511" s="143"/>
      <c r="C511" s="143"/>
      <c r="D511" s="143"/>
      <c r="E511" s="143"/>
      <c r="F511" s="143"/>
      <c r="G511" s="144"/>
      <c r="H511" s="144"/>
      <c r="I511" s="145"/>
      <c r="J511" s="379"/>
      <c r="K511" s="387"/>
      <c r="L511" s="516"/>
      <c r="M511" s="503">
        <f t="shared" si="57"/>
        <v>0</v>
      </c>
      <c r="N511" s="501">
        <f t="shared" si="58"/>
        <v>0</v>
      </c>
      <c r="O511" s="405" t="s">
        <v>408</v>
      </c>
      <c r="P511" s="422">
        <v>65</v>
      </c>
      <c r="Q511" s="362"/>
    </row>
    <row r="512" spans="1:17" x14ac:dyDescent="0.25">
      <c r="A512" s="142"/>
      <c r="B512" s="143"/>
      <c r="C512" s="143"/>
      <c r="D512" s="143"/>
      <c r="E512" s="143"/>
      <c r="F512" s="143"/>
      <c r="G512" s="144"/>
      <c r="H512" s="144"/>
      <c r="I512" s="145"/>
      <c r="J512" s="379"/>
      <c r="K512" s="387"/>
      <c r="L512" s="516"/>
      <c r="M512" s="503">
        <f t="shared" si="57"/>
        <v>0</v>
      </c>
      <c r="N512" s="501">
        <f t="shared" si="58"/>
        <v>0</v>
      </c>
      <c r="O512" s="405" t="s">
        <v>355</v>
      </c>
      <c r="P512" s="422">
        <v>739</v>
      </c>
      <c r="Q512" s="362"/>
    </row>
    <row r="513" spans="1:17" x14ac:dyDescent="0.25">
      <c r="A513" s="142"/>
      <c r="B513" s="143"/>
      <c r="C513" s="143"/>
      <c r="D513" s="143"/>
      <c r="E513" s="143"/>
      <c r="F513" s="143"/>
      <c r="G513" s="144"/>
      <c r="H513" s="144"/>
      <c r="I513" s="145"/>
      <c r="J513" s="379"/>
      <c r="K513" s="387"/>
      <c r="L513" s="516"/>
      <c r="M513" s="503">
        <f t="shared" si="57"/>
        <v>0</v>
      </c>
      <c r="N513" s="501">
        <f t="shared" si="58"/>
        <v>0</v>
      </c>
      <c r="O513" s="405" t="s">
        <v>35</v>
      </c>
      <c r="P513" s="422">
        <v>65</v>
      </c>
      <c r="Q513" s="362"/>
    </row>
    <row r="514" spans="1:17" x14ac:dyDescent="0.25">
      <c r="A514" s="142"/>
      <c r="B514" s="143"/>
      <c r="C514" s="143"/>
      <c r="D514" s="143"/>
      <c r="E514" s="143"/>
      <c r="F514" s="143"/>
      <c r="G514" s="144"/>
      <c r="H514" s="144"/>
      <c r="I514" s="145"/>
      <c r="J514" s="379"/>
      <c r="K514" s="387"/>
      <c r="L514" s="516"/>
      <c r="M514" s="503">
        <f t="shared" si="57"/>
        <v>0</v>
      </c>
      <c r="N514" s="501">
        <f t="shared" si="58"/>
        <v>0</v>
      </c>
      <c r="O514" s="405" t="s">
        <v>409</v>
      </c>
      <c r="P514" s="422">
        <v>65</v>
      </c>
      <c r="Q514" s="362"/>
    </row>
    <row r="515" spans="1:17" x14ac:dyDescent="0.25">
      <c r="A515" s="142"/>
      <c r="B515" s="143"/>
      <c r="C515" s="143"/>
      <c r="D515" s="143"/>
      <c r="E515" s="143"/>
      <c r="F515" s="143"/>
      <c r="G515" s="144"/>
      <c r="H515" s="144"/>
      <c r="I515" s="145"/>
      <c r="J515" s="379">
        <v>7</v>
      </c>
      <c r="K515" s="387"/>
      <c r="L515" s="516"/>
      <c r="M515" s="503">
        <f t="shared" si="57"/>
        <v>7</v>
      </c>
      <c r="N515" s="501">
        <f t="shared" si="58"/>
        <v>3.5017508754377189E-3</v>
      </c>
      <c r="O515" s="405" t="s">
        <v>448</v>
      </c>
      <c r="P515" s="422">
        <v>159</v>
      </c>
      <c r="Q515" s="362"/>
    </row>
    <row r="516" spans="1:17" x14ac:dyDescent="0.25">
      <c r="A516" s="142"/>
      <c r="B516" s="143"/>
      <c r="C516" s="143"/>
      <c r="D516" s="143"/>
      <c r="E516" s="143"/>
      <c r="F516" s="143"/>
      <c r="G516" s="144"/>
      <c r="H516" s="144"/>
      <c r="I516" s="145"/>
      <c r="J516" s="379"/>
      <c r="K516" s="387"/>
      <c r="L516" s="516"/>
      <c r="M516" s="503">
        <f t="shared" si="57"/>
        <v>0</v>
      </c>
      <c r="N516" s="501">
        <f t="shared" si="58"/>
        <v>0</v>
      </c>
      <c r="O516" s="405" t="s">
        <v>360</v>
      </c>
      <c r="P516" s="422">
        <v>639</v>
      </c>
      <c r="Q516" s="362"/>
    </row>
    <row r="517" spans="1:17" x14ac:dyDescent="0.25">
      <c r="A517" s="142"/>
      <c r="B517" s="143"/>
      <c r="C517" s="143"/>
      <c r="D517" s="143"/>
      <c r="E517" s="143"/>
      <c r="F517" s="143"/>
      <c r="G517" s="144"/>
      <c r="H517" s="144"/>
      <c r="I517" s="145"/>
      <c r="J517" s="370">
        <v>4</v>
      </c>
      <c r="K517" s="387"/>
      <c r="L517" s="516"/>
      <c r="M517" s="503">
        <f t="shared" si="57"/>
        <v>4</v>
      </c>
      <c r="N517" s="501">
        <f t="shared" si="58"/>
        <v>2.0010005002501249E-3</v>
      </c>
      <c r="O517" s="405" t="s">
        <v>341</v>
      </c>
      <c r="P517" s="422">
        <v>639</v>
      </c>
      <c r="Q517" s="362"/>
    </row>
    <row r="518" spans="1:17" x14ac:dyDescent="0.25">
      <c r="A518" s="142"/>
      <c r="B518" s="143"/>
      <c r="C518" s="143"/>
      <c r="D518" s="143"/>
      <c r="E518" s="143"/>
      <c r="F518" s="143"/>
      <c r="G518" s="144"/>
      <c r="H518" s="144"/>
      <c r="I518" s="145"/>
      <c r="J518" s="370">
        <v>13</v>
      </c>
      <c r="K518" s="387"/>
      <c r="L518" s="516"/>
      <c r="M518" s="503">
        <f t="shared" si="57"/>
        <v>13</v>
      </c>
      <c r="N518" s="501">
        <f t="shared" si="58"/>
        <v>6.5032516258129065E-3</v>
      </c>
      <c r="O518" s="405" t="s">
        <v>359</v>
      </c>
      <c r="P518" s="422">
        <v>639</v>
      </c>
      <c r="Q518" s="362" t="s">
        <v>451</v>
      </c>
    </row>
    <row r="519" spans="1:17" ht="15.75" thickBot="1" x14ac:dyDescent="0.3">
      <c r="A519" s="150"/>
      <c r="B519" s="151"/>
      <c r="C519" s="151"/>
      <c r="D519" s="151"/>
      <c r="E519" s="151"/>
      <c r="F519" s="151"/>
      <c r="G519" s="152"/>
      <c r="H519" s="152"/>
      <c r="I519" s="153"/>
      <c r="J519" s="380">
        <v>1</v>
      </c>
      <c r="K519" s="388"/>
      <c r="L519" s="517"/>
      <c r="M519" s="506">
        <f t="shared" si="57"/>
        <v>1</v>
      </c>
      <c r="N519" s="402">
        <f>M519/$E$457</f>
        <v>5.0025012506253123E-4</v>
      </c>
      <c r="O519" s="476" t="s">
        <v>85</v>
      </c>
      <c r="P519" s="423">
        <v>43</v>
      </c>
      <c r="Q519" s="381"/>
    </row>
    <row r="520" spans="1:17" ht="15.75" thickBot="1" x14ac:dyDescent="0.3">
      <c r="I520" s="154" t="s">
        <v>4</v>
      </c>
      <c r="J520" s="382">
        <f>SUM(J458:J519)</f>
        <v>273</v>
      </c>
      <c r="K520" s="382">
        <f>SUM(K458:K519)</f>
        <v>8</v>
      </c>
      <c r="L520" s="382">
        <f>SUM(L458:L519)</f>
        <v>15</v>
      </c>
      <c r="M520" s="403">
        <f>SUM(M458:M519)</f>
        <v>288</v>
      </c>
      <c r="N520" s="398">
        <f>M520/$E$457</f>
        <v>0.144072036018009</v>
      </c>
      <c r="O520" s="383"/>
      <c r="P520" s="383"/>
      <c r="Q520" s="384"/>
    </row>
  </sheetData>
  <conditionalFormatting sqref="N3">
    <cfRule type="colorScale" priority="221">
      <colorScale>
        <cfvo type="min"/>
        <cfvo type="max"/>
        <color rgb="FFFCFCFF"/>
        <color rgb="FFF8696B"/>
      </colorScale>
    </cfRule>
  </conditionalFormatting>
  <conditionalFormatting sqref="N3">
    <cfRule type="colorScale" priority="220">
      <colorScale>
        <cfvo type="min"/>
        <cfvo type="max"/>
        <color rgb="FFFCFCFF"/>
        <color rgb="FFF8696B"/>
      </colorScale>
    </cfRule>
  </conditionalFormatting>
  <conditionalFormatting sqref="N3">
    <cfRule type="colorScale" priority="219">
      <colorScale>
        <cfvo type="min"/>
        <cfvo type="max"/>
        <color rgb="FFFCFCFF"/>
        <color rgb="FFF8696B"/>
      </colorScale>
    </cfRule>
  </conditionalFormatting>
  <conditionalFormatting sqref="N27:N34">
    <cfRule type="colorScale" priority="218">
      <colorScale>
        <cfvo type="min"/>
        <cfvo type="max"/>
        <color rgb="FFFCFCFF"/>
        <color rgb="FFF8696B"/>
      </colorScale>
    </cfRule>
  </conditionalFormatting>
  <conditionalFormatting sqref="N36:N51">
    <cfRule type="colorScale" priority="217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16">
      <colorScale>
        <cfvo type="min"/>
        <cfvo type="max"/>
        <color rgb="FFFCFCFF"/>
        <color rgb="FFF8696B"/>
      </colorScale>
    </cfRule>
  </conditionalFormatting>
  <conditionalFormatting sqref="N4:N25">
    <cfRule type="colorScale" priority="3649">
      <colorScale>
        <cfvo type="min"/>
        <cfvo type="max"/>
        <color rgb="FFFCFCFF"/>
        <color rgb="FFF8696B"/>
      </colorScale>
    </cfRule>
  </conditionalFormatting>
  <conditionalFormatting sqref="N56">
    <cfRule type="colorScale" priority="137">
      <colorScale>
        <cfvo type="min"/>
        <cfvo type="max"/>
        <color rgb="FFFCFCFF"/>
        <color rgb="FFF8696B"/>
      </colorScale>
    </cfRule>
  </conditionalFormatting>
  <conditionalFormatting sqref="N56">
    <cfRule type="colorScale" priority="136">
      <colorScale>
        <cfvo type="min"/>
        <cfvo type="max"/>
        <color rgb="FFFCFCFF"/>
        <color rgb="FFF8696B"/>
      </colorScale>
    </cfRule>
  </conditionalFormatting>
  <conditionalFormatting sqref="N56">
    <cfRule type="colorScale" priority="135">
      <colorScale>
        <cfvo type="min"/>
        <cfvo type="max"/>
        <color rgb="FFFCFCFF"/>
        <color rgb="FFF8696B"/>
      </colorScale>
    </cfRule>
  </conditionalFormatting>
  <conditionalFormatting sqref="N80:N87">
    <cfRule type="colorScale" priority="134">
      <colorScale>
        <cfvo type="min"/>
        <cfvo type="max"/>
        <color rgb="FFFCFCFF"/>
        <color rgb="FFF8696B"/>
      </colorScale>
    </cfRule>
  </conditionalFormatting>
  <conditionalFormatting sqref="N89:N104">
    <cfRule type="colorScale" priority="133">
      <colorScale>
        <cfvo type="min"/>
        <cfvo type="max"/>
        <color rgb="FFFCFCFF"/>
        <color rgb="FFF8696B"/>
      </colorScale>
    </cfRule>
  </conditionalFormatting>
  <conditionalFormatting sqref="N105">
    <cfRule type="colorScale" priority="132">
      <colorScale>
        <cfvo type="min"/>
        <cfvo type="max"/>
        <color rgb="FFFCFCFF"/>
        <color rgb="FFF8696B"/>
      </colorScale>
    </cfRule>
  </conditionalFormatting>
  <conditionalFormatting sqref="N57:N78">
    <cfRule type="colorScale" priority="138">
      <colorScale>
        <cfvo type="min"/>
        <cfvo type="max"/>
        <color rgb="FFFCFCFF"/>
        <color rgb="FFF8696B"/>
      </colorScale>
    </cfRule>
  </conditionalFormatting>
  <conditionalFormatting sqref="N109">
    <cfRule type="colorScale" priority="116">
      <colorScale>
        <cfvo type="min"/>
        <cfvo type="max"/>
        <color rgb="FFFCFCFF"/>
        <color rgb="FFF8696B"/>
      </colorScale>
    </cfRule>
  </conditionalFormatting>
  <conditionalFormatting sqref="N109">
    <cfRule type="colorScale" priority="115">
      <colorScale>
        <cfvo type="min"/>
        <cfvo type="max"/>
        <color rgb="FFFCFCFF"/>
        <color rgb="FFF8696B"/>
      </colorScale>
    </cfRule>
  </conditionalFormatting>
  <conditionalFormatting sqref="N109">
    <cfRule type="colorScale" priority="114">
      <colorScale>
        <cfvo type="min"/>
        <cfvo type="max"/>
        <color rgb="FFFCFCFF"/>
        <color rgb="FFF8696B"/>
      </colorScale>
    </cfRule>
  </conditionalFormatting>
  <conditionalFormatting sqref="N133:N140">
    <cfRule type="colorScale" priority="113">
      <colorScale>
        <cfvo type="min"/>
        <cfvo type="max"/>
        <color rgb="FFFCFCFF"/>
        <color rgb="FFF8696B"/>
      </colorScale>
    </cfRule>
  </conditionalFormatting>
  <conditionalFormatting sqref="N142:N157">
    <cfRule type="colorScale" priority="112">
      <colorScale>
        <cfvo type="min"/>
        <cfvo type="max"/>
        <color rgb="FFFCFCFF"/>
        <color rgb="FFF8696B"/>
      </colorScale>
    </cfRule>
  </conditionalFormatting>
  <conditionalFormatting sqref="N158">
    <cfRule type="colorScale" priority="111">
      <colorScale>
        <cfvo type="min"/>
        <cfvo type="max"/>
        <color rgb="FFFCFCFF"/>
        <color rgb="FFF8696B"/>
      </colorScale>
    </cfRule>
  </conditionalFormatting>
  <conditionalFormatting sqref="N110:N131">
    <cfRule type="colorScale" priority="117">
      <colorScale>
        <cfvo type="min"/>
        <cfvo type="max"/>
        <color rgb="FFFCFCFF"/>
        <color rgb="FFF8696B"/>
      </colorScale>
    </cfRule>
  </conditionalFormatting>
  <conditionalFormatting sqref="N162">
    <cfRule type="colorScale" priority="109">
      <colorScale>
        <cfvo type="min"/>
        <cfvo type="max"/>
        <color rgb="FFFCFCFF"/>
        <color rgb="FFF8696B"/>
      </colorScale>
    </cfRule>
  </conditionalFormatting>
  <conditionalFormatting sqref="N162">
    <cfRule type="colorScale" priority="108">
      <colorScale>
        <cfvo type="min"/>
        <cfvo type="max"/>
        <color rgb="FFFCFCFF"/>
        <color rgb="FFF8696B"/>
      </colorScale>
    </cfRule>
  </conditionalFormatting>
  <conditionalFormatting sqref="N162">
    <cfRule type="colorScale" priority="107">
      <colorScale>
        <cfvo type="min"/>
        <cfvo type="max"/>
        <color rgb="FFFCFCFF"/>
        <color rgb="FFF8696B"/>
      </colorScale>
    </cfRule>
  </conditionalFormatting>
  <conditionalFormatting sqref="N185:N193">
    <cfRule type="colorScale" priority="106">
      <colorScale>
        <cfvo type="min"/>
        <cfvo type="max"/>
        <color rgb="FFFCFCFF"/>
        <color rgb="FFF8696B"/>
      </colorScale>
    </cfRule>
  </conditionalFormatting>
  <conditionalFormatting sqref="N196:N209">
    <cfRule type="colorScale" priority="105">
      <colorScale>
        <cfvo type="min"/>
        <cfvo type="max"/>
        <color rgb="FFFCFCFF"/>
        <color rgb="FFF8696B"/>
      </colorScale>
    </cfRule>
  </conditionalFormatting>
  <conditionalFormatting sqref="N210">
    <cfRule type="colorScale" priority="104">
      <colorScale>
        <cfvo type="min"/>
        <cfvo type="max"/>
        <color rgb="FFFCFCFF"/>
        <color rgb="FFF8696B"/>
      </colorScale>
    </cfRule>
  </conditionalFormatting>
  <conditionalFormatting sqref="N163:N183">
    <cfRule type="colorScale" priority="110">
      <colorScale>
        <cfvo type="min"/>
        <cfvo type="max"/>
        <color rgb="FFFCFCFF"/>
        <color rgb="FFF8696B"/>
      </colorScale>
    </cfRule>
  </conditionalFormatting>
  <conditionalFormatting sqref="N195">
    <cfRule type="colorScale" priority="100">
      <colorScale>
        <cfvo type="min"/>
        <cfvo type="max"/>
        <color rgb="FFFCFCFF"/>
        <color rgb="FFF8696B"/>
      </colorScale>
    </cfRule>
  </conditionalFormatting>
  <conditionalFormatting sqref="N214">
    <cfRule type="colorScale" priority="98">
      <colorScale>
        <cfvo type="min"/>
        <cfvo type="max"/>
        <color rgb="FFFCFCFF"/>
        <color rgb="FFF8696B"/>
      </colorScale>
    </cfRule>
  </conditionalFormatting>
  <conditionalFormatting sqref="N214">
    <cfRule type="colorScale" priority="97">
      <colorScale>
        <cfvo type="min"/>
        <cfvo type="max"/>
        <color rgb="FFFCFCFF"/>
        <color rgb="FFF8696B"/>
      </colorScale>
    </cfRule>
  </conditionalFormatting>
  <conditionalFormatting sqref="N214">
    <cfRule type="colorScale" priority="96">
      <colorScale>
        <cfvo type="min"/>
        <cfvo type="max"/>
        <color rgb="FFFCFCFF"/>
        <color rgb="FFF8696B"/>
      </colorScale>
    </cfRule>
  </conditionalFormatting>
  <conditionalFormatting sqref="N237:N245">
    <cfRule type="colorScale" priority="95">
      <colorScale>
        <cfvo type="min"/>
        <cfvo type="max"/>
        <color rgb="FFFCFCFF"/>
        <color rgb="FFF8696B"/>
      </colorScale>
    </cfRule>
  </conditionalFormatting>
  <conditionalFormatting sqref="N248:N263">
    <cfRule type="colorScale" priority="94">
      <colorScale>
        <cfvo type="min"/>
        <cfvo type="max"/>
        <color rgb="FFFCFCFF"/>
        <color rgb="FFF8696B"/>
      </colorScale>
    </cfRule>
  </conditionalFormatting>
  <conditionalFormatting sqref="N264">
    <cfRule type="colorScale" priority="93">
      <colorScale>
        <cfvo type="min"/>
        <cfvo type="max"/>
        <color rgb="FFFCFCFF"/>
        <color rgb="FFF8696B"/>
      </colorScale>
    </cfRule>
  </conditionalFormatting>
  <conditionalFormatting sqref="N215:N235">
    <cfRule type="colorScale" priority="99">
      <colorScale>
        <cfvo type="min"/>
        <cfvo type="max"/>
        <color rgb="FFFCFCFF"/>
        <color rgb="FFF8696B"/>
      </colorScale>
    </cfRule>
  </conditionalFormatting>
  <conditionalFormatting sqref="N247">
    <cfRule type="colorScale" priority="89">
      <colorScale>
        <cfvo type="min"/>
        <cfvo type="max"/>
        <color rgb="FFFCFCFF"/>
        <color rgb="FFF8696B"/>
      </colorScale>
    </cfRule>
  </conditionalFormatting>
  <conditionalFormatting sqref="N268">
    <cfRule type="colorScale" priority="83">
      <colorScale>
        <cfvo type="min"/>
        <cfvo type="max"/>
        <color rgb="FFFCFCFF"/>
        <color rgb="FFF8696B"/>
      </colorScale>
    </cfRule>
  </conditionalFormatting>
  <conditionalFormatting sqref="N268">
    <cfRule type="colorScale" priority="82">
      <colorScale>
        <cfvo type="min"/>
        <cfvo type="max"/>
        <color rgb="FFFCFCFF"/>
        <color rgb="FFF8696B"/>
      </colorScale>
    </cfRule>
  </conditionalFormatting>
  <conditionalFormatting sqref="N268">
    <cfRule type="colorScale" priority="81">
      <colorScale>
        <cfvo type="min"/>
        <cfvo type="max"/>
        <color rgb="FFFCFCFF"/>
        <color rgb="FFF8696B"/>
      </colorScale>
    </cfRule>
  </conditionalFormatting>
  <conditionalFormatting sqref="N292:N302 N304">
    <cfRule type="colorScale" priority="80">
      <colorScale>
        <cfvo type="min"/>
        <cfvo type="max"/>
        <color rgb="FFFCFCFF"/>
        <color rgb="FFF8696B"/>
      </colorScale>
    </cfRule>
  </conditionalFormatting>
  <conditionalFormatting sqref="N307:N326">
    <cfRule type="colorScale" priority="79">
      <colorScale>
        <cfvo type="min"/>
        <cfvo type="max"/>
        <color rgb="FFFCFCFF"/>
        <color rgb="FFF8696B"/>
      </colorScale>
    </cfRule>
  </conditionalFormatting>
  <conditionalFormatting sqref="N327">
    <cfRule type="colorScale" priority="78">
      <colorScale>
        <cfvo type="min"/>
        <cfvo type="max"/>
        <color rgb="FFFCFCFF"/>
        <color rgb="FFF8696B"/>
      </colorScale>
    </cfRule>
  </conditionalFormatting>
  <conditionalFormatting sqref="N269:N290">
    <cfRule type="colorScale" priority="84">
      <colorScale>
        <cfvo type="min"/>
        <cfvo type="max"/>
        <color rgb="FFFCFCFF"/>
        <color rgb="FFF8696B"/>
      </colorScale>
    </cfRule>
  </conditionalFormatting>
  <conditionalFormatting sqref="N306">
    <cfRule type="colorScale" priority="74">
      <colorScale>
        <cfvo type="min"/>
        <cfvo type="max"/>
        <color rgb="FFFCFCFF"/>
        <color rgb="FFF8696B"/>
      </colorScale>
    </cfRule>
  </conditionalFormatting>
  <conditionalFormatting sqref="N303">
    <cfRule type="colorScale" priority="69">
      <colorScale>
        <cfvo type="min"/>
        <cfvo type="max"/>
        <color rgb="FFFCFCFF"/>
        <color rgb="FFF8696B"/>
      </colorScale>
    </cfRule>
  </conditionalFormatting>
  <conditionalFormatting sqref="N331">
    <cfRule type="colorScale" priority="63">
      <colorScale>
        <cfvo type="min"/>
        <cfvo type="max"/>
        <color rgb="FFFCFCFF"/>
        <color rgb="FFF8696B"/>
      </colorScale>
    </cfRule>
  </conditionalFormatting>
  <conditionalFormatting sqref="N331">
    <cfRule type="colorScale" priority="62">
      <colorScale>
        <cfvo type="min"/>
        <cfvo type="max"/>
        <color rgb="FFFCFCFF"/>
        <color rgb="FFF8696B"/>
      </colorScale>
    </cfRule>
  </conditionalFormatting>
  <conditionalFormatting sqref="N331">
    <cfRule type="colorScale" priority="61">
      <colorScale>
        <cfvo type="min"/>
        <cfvo type="max"/>
        <color rgb="FFFCFCFF"/>
        <color rgb="FFF8696B"/>
      </colorScale>
    </cfRule>
  </conditionalFormatting>
  <conditionalFormatting sqref="N355:N365 N367">
    <cfRule type="colorScale" priority="60">
      <colorScale>
        <cfvo type="min"/>
        <cfvo type="max"/>
        <color rgb="FFFCFCFF"/>
        <color rgb="FFF8696B"/>
      </colorScale>
    </cfRule>
  </conditionalFormatting>
  <conditionalFormatting sqref="N370:N389">
    <cfRule type="colorScale" priority="59">
      <colorScale>
        <cfvo type="min"/>
        <cfvo type="max"/>
        <color rgb="FFFCFCFF"/>
        <color rgb="FFF8696B"/>
      </colorScale>
    </cfRule>
  </conditionalFormatting>
  <conditionalFormatting sqref="N390">
    <cfRule type="colorScale" priority="58">
      <colorScale>
        <cfvo type="min"/>
        <cfvo type="max"/>
        <color rgb="FFFCFCFF"/>
        <color rgb="FFF8696B"/>
      </colorScale>
    </cfRule>
  </conditionalFormatting>
  <conditionalFormatting sqref="N332:N353">
    <cfRule type="colorScale" priority="64">
      <colorScale>
        <cfvo type="min"/>
        <cfvo type="max"/>
        <color rgb="FFFCFCFF"/>
        <color rgb="FFF8696B"/>
      </colorScale>
    </cfRule>
  </conditionalFormatting>
  <conditionalFormatting sqref="N369">
    <cfRule type="colorScale" priority="54">
      <colorScale>
        <cfvo type="min"/>
        <cfvo type="max"/>
        <color rgb="FFFCFCFF"/>
        <color rgb="FFF8696B"/>
      </colorScale>
    </cfRule>
  </conditionalFormatting>
  <conditionalFormatting sqref="N366">
    <cfRule type="colorScale" priority="49">
      <colorScale>
        <cfvo type="min"/>
        <cfvo type="max"/>
        <color rgb="FFFCFCFF"/>
        <color rgb="FFF8696B"/>
      </colorScale>
    </cfRule>
  </conditionalFormatting>
  <conditionalFormatting sqref="N394">
    <cfRule type="colorScale" priority="43">
      <colorScale>
        <cfvo type="min"/>
        <cfvo type="max"/>
        <color rgb="FFFCFCFF"/>
        <color rgb="FFF8696B"/>
      </colorScale>
    </cfRule>
  </conditionalFormatting>
  <conditionalFormatting sqref="N394">
    <cfRule type="colorScale" priority="42">
      <colorScale>
        <cfvo type="min"/>
        <cfvo type="max"/>
        <color rgb="FFFCFCFF"/>
        <color rgb="FFF8696B"/>
      </colorScale>
    </cfRule>
  </conditionalFormatting>
  <conditionalFormatting sqref="N394">
    <cfRule type="colorScale" priority="41">
      <colorScale>
        <cfvo type="min"/>
        <cfvo type="max"/>
        <color rgb="FFFCFCFF"/>
        <color rgb="FFF8696B"/>
      </colorScale>
    </cfRule>
  </conditionalFormatting>
  <conditionalFormatting sqref="N418:N430">
    <cfRule type="colorScale" priority="40">
      <colorScale>
        <cfvo type="min"/>
        <cfvo type="max"/>
        <color rgb="FFFCFCFF"/>
        <color rgb="FFF8696B"/>
      </colorScale>
    </cfRule>
  </conditionalFormatting>
  <conditionalFormatting sqref="N433:N452">
    <cfRule type="colorScale" priority="39">
      <colorScale>
        <cfvo type="min"/>
        <cfvo type="max"/>
        <color rgb="FFFCFCFF"/>
        <color rgb="FFF8696B"/>
      </colorScale>
    </cfRule>
  </conditionalFormatting>
  <conditionalFormatting sqref="N453">
    <cfRule type="colorScale" priority="38">
      <colorScale>
        <cfvo type="min"/>
        <cfvo type="max"/>
        <color rgb="FFFCFCFF"/>
        <color rgb="FFF8696B"/>
      </colorScale>
    </cfRule>
  </conditionalFormatting>
  <conditionalFormatting sqref="N395:N416">
    <cfRule type="colorScale" priority="44">
      <colorScale>
        <cfvo type="min"/>
        <cfvo type="max"/>
        <color rgb="FFFCFCFF"/>
        <color rgb="FFF8696B"/>
      </colorScale>
    </cfRule>
  </conditionalFormatting>
  <conditionalFormatting sqref="N4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N457">
    <cfRule type="colorScale" priority="23">
      <colorScale>
        <cfvo type="min"/>
        <cfvo type="max"/>
        <color rgb="FFFCFCFF"/>
        <color rgb="FFF8696B"/>
      </colorScale>
    </cfRule>
  </conditionalFormatting>
  <conditionalFormatting sqref="N457">
    <cfRule type="colorScale" priority="22">
      <colorScale>
        <cfvo type="min"/>
        <cfvo type="max"/>
        <color rgb="FFFCFCFF"/>
        <color rgb="FFF8696B"/>
      </colorScale>
    </cfRule>
  </conditionalFormatting>
  <conditionalFormatting sqref="N457">
    <cfRule type="colorScale" priority="21">
      <colorScale>
        <cfvo type="min"/>
        <cfvo type="max"/>
        <color rgb="FFFCFCFF"/>
        <color rgb="FFF8696B"/>
      </colorScale>
    </cfRule>
  </conditionalFormatting>
  <conditionalFormatting sqref="N482:N495">
    <cfRule type="colorScale" priority="20">
      <colorScale>
        <cfvo type="min"/>
        <cfvo type="max"/>
        <color rgb="FFFCFCFF"/>
        <color rgb="FFF8696B"/>
      </colorScale>
    </cfRule>
  </conditionalFormatting>
  <conditionalFormatting sqref="N498:N519">
    <cfRule type="colorScale" priority="19">
      <colorScale>
        <cfvo type="min"/>
        <cfvo type="max"/>
        <color rgb="FFFCFCFF"/>
        <color rgb="FFF8696B"/>
      </colorScale>
    </cfRule>
  </conditionalFormatting>
  <conditionalFormatting sqref="N520">
    <cfRule type="colorScale" priority="18">
      <colorScale>
        <cfvo type="min"/>
        <cfvo type="max"/>
        <color rgb="FFFCFCFF"/>
        <color rgb="FFF8696B"/>
      </colorScale>
    </cfRule>
  </conditionalFormatting>
  <conditionalFormatting sqref="N458:N480">
    <cfRule type="colorScale" priority="24">
      <colorScale>
        <cfvo type="min"/>
        <cfvo type="max"/>
        <color rgb="FFFCFCFF"/>
        <color rgb="FFF8696B"/>
      </colorScale>
    </cfRule>
  </conditionalFormatting>
  <conditionalFormatting sqref="N497">
    <cfRule type="colorScale" priority="14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pageSetUpPr fitToPage="1"/>
  </sheetPr>
  <dimension ref="A1:R30"/>
  <sheetViews>
    <sheetView showGridLines="0" zoomScaleNormal="100" workbookViewId="0">
      <selection activeCell="A30" sqref="A30:C30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8" width="10.7109375" style="23" customWidth="1"/>
    <col min="9" max="9" width="12.5703125" style="23" customWidth="1"/>
    <col min="10" max="13" width="10.7109375" style="23" customWidth="1"/>
    <col min="14" max="14" width="11.7109375" style="23" bestFit="1" customWidth="1"/>
    <col min="15" max="15" width="23.140625" style="23" customWidth="1"/>
    <col min="16" max="16" width="10.7109375" style="23" customWidth="1"/>
    <col min="17" max="17" width="6.7109375" style="23" customWidth="1"/>
    <col min="18" max="18" width="10.7109375" style="23" customWidth="1"/>
    <col min="19" max="16384" width="9.140625" style="23"/>
  </cols>
  <sheetData>
    <row r="1" spans="1:18" ht="54" customHeight="1" x14ac:dyDescent="0.25">
      <c r="A1" s="558" t="s">
        <v>105</v>
      </c>
      <c r="B1" s="558"/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  <c r="R1" s="558"/>
    </row>
    <row r="3" spans="1:18" ht="26.25" customHeight="1" x14ac:dyDescent="0.25">
      <c r="O3" s="559" t="s">
        <v>50</v>
      </c>
      <c r="P3" s="560"/>
      <c r="Q3" s="560"/>
      <c r="R3" s="560"/>
    </row>
    <row r="4" spans="1:18" x14ac:dyDescent="0.25">
      <c r="O4" s="561" t="s">
        <v>20</v>
      </c>
      <c r="P4" s="562"/>
      <c r="Q4" s="563"/>
      <c r="R4" s="158" t="s">
        <v>24</v>
      </c>
    </row>
    <row r="5" spans="1:18" x14ac:dyDescent="0.25">
      <c r="O5" s="199" t="s">
        <v>15</v>
      </c>
      <c r="P5" s="200"/>
      <c r="Q5" s="201"/>
      <c r="R5" s="255">
        <f>SUMIF('EB230'!$O$215:$O$389,O5,'EB230'!$M$215:$M$389)</f>
        <v>114</v>
      </c>
    </row>
    <row r="6" spans="1:18" x14ac:dyDescent="0.25">
      <c r="O6" s="199" t="s">
        <v>108</v>
      </c>
      <c r="P6" s="200"/>
      <c r="Q6" s="201"/>
      <c r="R6" s="255">
        <f>SUMIF('EB230'!$O$215:$O$389,O6,'EB230'!$M$215:$M$389)</f>
        <v>88</v>
      </c>
    </row>
    <row r="7" spans="1:18" x14ac:dyDescent="0.25">
      <c r="O7" s="199" t="s">
        <v>3</v>
      </c>
      <c r="P7" s="200"/>
      <c r="Q7" s="201"/>
      <c r="R7" s="255">
        <f>SUMIF('EB230'!$O$215:$O$389,O7,'EB230'!$M$215:$M$389)</f>
        <v>22</v>
      </c>
    </row>
    <row r="8" spans="1:18" x14ac:dyDescent="0.25">
      <c r="O8" s="199" t="s">
        <v>71</v>
      </c>
      <c r="P8" s="200"/>
      <c r="Q8" s="201"/>
      <c r="R8" s="255">
        <f>SUMIF('EB230'!$O$215:$O$389,O8,'EB230'!$M$215:$M$389)</f>
        <v>21</v>
      </c>
    </row>
    <row r="9" spans="1:18" x14ac:dyDescent="0.25">
      <c r="O9" s="199" t="s">
        <v>27</v>
      </c>
      <c r="P9" s="200"/>
      <c r="Q9" s="201"/>
      <c r="R9" s="255">
        <f>SUMIF('EB230'!$O$215:$O$389,O9,'EB230'!$M$215:$M$389)</f>
        <v>13</v>
      </c>
    </row>
    <row r="10" spans="1:18" x14ac:dyDescent="0.25">
      <c r="O10" s="199" t="s">
        <v>80</v>
      </c>
      <c r="P10" s="200"/>
      <c r="Q10" s="201"/>
      <c r="R10" s="255">
        <f>SUMIF('EB230'!$O$215:$O$389,O10,'EB230'!$M$215:$M$389)</f>
        <v>7</v>
      </c>
    </row>
    <row r="11" spans="1:18" x14ac:dyDescent="0.25">
      <c r="O11" s="199" t="s">
        <v>87</v>
      </c>
      <c r="P11" s="200"/>
      <c r="Q11" s="201"/>
      <c r="R11" s="255">
        <f>SUMIF('EB230'!$O$215:$O$389,O11,'EB230'!$M$215:$M$389)</f>
        <v>6</v>
      </c>
    </row>
    <row r="12" spans="1:18" x14ac:dyDescent="0.25">
      <c r="O12" s="199" t="s">
        <v>34</v>
      </c>
      <c r="P12" s="200"/>
      <c r="Q12" s="201"/>
      <c r="R12" s="255">
        <f>SUMIF('EB230'!$O$215:$O$389,O12,'EB230'!$M$215:$M$389)</f>
        <v>6</v>
      </c>
    </row>
    <row r="13" spans="1:18" x14ac:dyDescent="0.25">
      <c r="O13" s="199" t="s">
        <v>8</v>
      </c>
      <c r="P13" s="200"/>
      <c r="Q13" s="201"/>
      <c r="R13" s="255">
        <f>SUMIF('EB230'!$O$215:$O$389,O13,'EB230'!$M$215:$M$389)</f>
        <v>1</v>
      </c>
    </row>
    <row r="14" spans="1:18" x14ac:dyDescent="0.25">
      <c r="O14" s="199" t="s">
        <v>85</v>
      </c>
      <c r="P14" s="200"/>
      <c r="Q14" s="201"/>
      <c r="R14" s="255">
        <f>SUMIF('EB230'!$O$215:$O$389,O14,'EB230'!$M$215:$M$389)</f>
        <v>1</v>
      </c>
    </row>
    <row r="15" spans="1:18" x14ac:dyDescent="0.25">
      <c r="O15" s="199" t="s">
        <v>7</v>
      </c>
      <c r="P15" s="200"/>
      <c r="Q15" s="201"/>
      <c r="R15" s="255">
        <f>SUMIF('EB230'!$O$215:$O$389,O15,'EB230'!$M$215:$M$389)</f>
        <v>1</v>
      </c>
    </row>
    <row r="16" spans="1:18" x14ac:dyDescent="0.25">
      <c r="O16" s="199" t="s">
        <v>19</v>
      </c>
      <c r="P16" s="200"/>
      <c r="Q16" s="201"/>
      <c r="R16" s="255">
        <f>SUMIF('EB230'!$O$215:$O$389,O16,'EB230'!$M$215:$M$389)</f>
        <v>1</v>
      </c>
    </row>
    <row r="17" spans="1:18" x14ac:dyDescent="0.25">
      <c r="O17" s="199" t="s">
        <v>88</v>
      </c>
      <c r="P17" s="200"/>
      <c r="Q17" s="201"/>
      <c r="R17" s="255">
        <f>SUMIF('EB230'!$O$215:$O$389,O17,'EB230'!$M$215:$M$389)</f>
        <v>0</v>
      </c>
    </row>
    <row r="18" spans="1:18" x14ac:dyDescent="0.25">
      <c r="O18" s="199" t="s">
        <v>13</v>
      </c>
      <c r="P18" s="200"/>
      <c r="Q18" s="201"/>
      <c r="R18" s="255">
        <f>SUMIF('EB230'!$O$215:$O$389,O18,'EB230'!$M$215:$M$389)</f>
        <v>0</v>
      </c>
    </row>
    <row r="19" spans="1:18" x14ac:dyDescent="0.25">
      <c r="O19" s="199" t="s">
        <v>163</v>
      </c>
      <c r="P19" s="200"/>
      <c r="Q19" s="201"/>
      <c r="R19" s="255">
        <f>SUMIF('EB230'!$O$215:$O$389,O19,'EB230'!$M$215:$M$389)</f>
        <v>0</v>
      </c>
    </row>
    <row r="20" spans="1:18" x14ac:dyDescent="0.25">
      <c r="O20" s="199" t="s">
        <v>43</v>
      </c>
      <c r="P20" s="200"/>
      <c r="Q20" s="201"/>
      <c r="R20" s="255">
        <f>SUMIF('EB230'!$O$215:$O$389,O20,'EB230'!$M$215:$M$389)</f>
        <v>0</v>
      </c>
    </row>
    <row r="21" spans="1:18" ht="27.75" customHeight="1" x14ac:dyDescent="0.25">
      <c r="A21" s="567" t="s">
        <v>62</v>
      </c>
      <c r="B21" s="568"/>
      <c r="C21" s="568"/>
      <c r="D21" s="568"/>
      <c r="E21" s="569"/>
      <c r="O21" s="199" t="s">
        <v>46</v>
      </c>
      <c r="P21" s="200"/>
      <c r="Q21" s="201"/>
      <c r="R21" s="255">
        <f>SUMIF('EB230'!$O$215:$O$389,O21,'EB230'!$M$215:$M$389)</f>
        <v>0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16" t="s">
        <v>23</v>
      </c>
      <c r="O22" s="199"/>
      <c r="P22" s="200"/>
      <c r="Q22" s="201"/>
      <c r="R22" s="255"/>
    </row>
    <row r="23" spans="1:18" x14ac:dyDescent="0.25">
      <c r="A23" s="329">
        <v>1514356</v>
      </c>
      <c r="B23" s="241">
        <f>VLOOKUP(Table14310[[#This Row],[Shop Order]],'EB230'!A:AD,5,FALSE)</f>
        <v>1985</v>
      </c>
      <c r="C23" s="241">
        <f>VLOOKUP(Table14310[[#This Row],[Shop Order]],'EB230'!A:AD,6,FALSE)</f>
        <v>1835</v>
      </c>
      <c r="D23" s="242">
        <f>VLOOKUP(Table14310[[#This Row],[Shop Order]],'EB230'!A:AD,7,FALSE)</f>
        <v>0.92443324937027704</v>
      </c>
      <c r="E23" s="243">
        <f>VLOOKUP(Table14310[[#This Row],[Shop Order]],'EB230'!A:AD,9,FALSE)</f>
        <v>45323</v>
      </c>
      <c r="O23" s="199"/>
      <c r="P23" s="200"/>
      <c r="Q23" s="201"/>
      <c r="R23" s="18"/>
    </row>
    <row r="24" spans="1:18" s="138" customFormat="1" x14ac:dyDescent="0.25">
      <c r="A24" s="329">
        <v>1516802</v>
      </c>
      <c r="B24" s="241">
        <f>VLOOKUP(Table14310[[#This Row],[Shop Order]],'EB230'!A:AD,5,FALSE)</f>
        <v>2030</v>
      </c>
      <c r="C24" s="241">
        <f>VLOOKUP(Table14310[[#This Row],[Shop Order]],'EB230'!A:AD,6,FALSE)</f>
        <v>1797</v>
      </c>
      <c r="D24" s="242">
        <f>VLOOKUP(Table14310[[#This Row],[Shop Order]],'EB230'!A:AD,7,FALSE)</f>
        <v>0.88522167487684733</v>
      </c>
      <c r="E24" s="243">
        <f>VLOOKUP(Table14310[[#This Row],[Shop Order]],'EB230'!A:AD,9,FALSE)</f>
        <v>45338</v>
      </c>
      <c r="F24" s="137"/>
      <c r="O24" s="199"/>
      <c r="P24" s="200"/>
      <c r="Q24" s="201"/>
      <c r="R24" s="18"/>
    </row>
    <row r="25" spans="1:18" s="138" customFormat="1" x14ac:dyDescent="0.25">
      <c r="A25" s="330">
        <v>1516803</v>
      </c>
      <c r="B25" s="241">
        <f>VLOOKUP(Table14310[[#This Row],[Shop Order]],'EB230'!A:AD,5,FALSE)</f>
        <v>2033</v>
      </c>
      <c r="C25" s="241">
        <f>VLOOKUP(Table14310[[#This Row],[Shop Order]],'EB230'!A:AD,6,FALSE)</f>
        <v>1839</v>
      </c>
      <c r="D25" s="242">
        <f>VLOOKUP(Table14310[[#This Row],[Shop Order]],'EB230'!A:AD,7,FALSE)</f>
        <v>0.90457452041318254</v>
      </c>
      <c r="E25" s="243">
        <f>VLOOKUP(Table14310[[#This Row],[Shop Order]],'EB230'!A:AD,9,FALSE)</f>
        <v>45344</v>
      </c>
      <c r="O25" s="199"/>
      <c r="P25" s="200"/>
      <c r="Q25" s="201"/>
      <c r="R25" s="18"/>
    </row>
    <row r="26" spans="1:18" s="138" customFormat="1" x14ac:dyDescent="0.25">
      <c r="A26" s="329">
        <v>1516804</v>
      </c>
      <c r="B26" s="241">
        <f>VLOOKUP(Table14310[[#This Row],[Shop Order]],'EB230'!A:AD,5,FALSE)</f>
        <v>1968</v>
      </c>
      <c r="C26" s="241">
        <f>VLOOKUP(Table14310[[#This Row],[Shop Order]],'EB230'!A:AD,6,FALSE)</f>
        <v>1855</v>
      </c>
      <c r="D26" s="242">
        <f>VLOOKUP(Table14310[[#This Row],[Shop Order]],'EB230'!A:AD,7,FALSE)</f>
        <v>0.94258130081300817</v>
      </c>
      <c r="E26" s="243">
        <f>VLOOKUP(Table14310[[#This Row],[Shop Order]],'EB230'!A:AD,9,FALSE)</f>
        <v>45348</v>
      </c>
      <c r="O26" s="199"/>
      <c r="P26" s="200"/>
      <c r="Q26" s="201"/>
      <c r="R26" s="18"/>
    </row>
    <row r="27" spans="1:18" x14ac:dyDescent="0.25">
      <c r="A27" s="329">
        <v>1512561</v>
      </c>
      <c r="B27" s="241">
        <f>VLOOKUP(Table14310[[#This Row],[Shop Order]],'EB230'!A:AD,5,FALSE)</f>
        <v>1963</v>
      </c>
      <c r="C27" s="241">
        <f>VLOOKUP(Table14310[[#This Row],[Shop Order]],'EB230'!A:AD,6,FALSE)</f>
        <v>1821</v>
      </c>
      <c r="D27" s="242">
        <f>VLOOKUP(Table14310[[#This Row],[Shop Order]],'EB230'!A:AD,7,FALSE)</f>
        <v>0.92766174223127862</v>
      </c>
      <c r="E27" s="243">
        <f>VLOOKUP(Table14310[[#This Row],[Shop Order]],'EB230'!A:AD,9,FALSE)</f>
        <v>45357</v>
      </c>
      <c r="F27" s="138"/>
      <c r="O27" s="199"/>
      <c r="P27" s="200"/>
      <c r="Q27" s="201"/>
      <c r="R27" s="18"/>
    </row>
    <row r="28" spans="1:18" x14ac:dyDescent="0.25">
      <c r="A28" s="329">
        <v>1517632</v>
      </c>
      <c r="B28" s="241">
        <f>VLOOKUP(Table14310[[#This Row],[Shop Order]],'EB230'!A:AD,5,FALSE)</f>
        <v>1976</v>
      </c>
      <c r="C28" s="241">
        <f>VLOOKUP(Table14310[[#This Row],[Shop Order]],'EB230'!A:AD,6,FALSE)</f>
        <v>1834</v>
      </c>
      <c r="D28" s="242">
        <f>VLOOKUP(Table14310[[#This Row],[Shop Order]],'EB230'!A:AD,7,FALSE)</f>
        <v>0.92813765182186236</v>
      </c>
      <c r="E28" s="243">
        <f>VLOOKUP(Table14310[[#This Row],[Shop Order]],'EB230'!A:AD,9,FALSE)</f>
        <v>45364</v>
      </c>
      <c r="F28" s="138"/>
      <c r="O28" s="199"/>
      <c r="P28" s="200"/>
      <c r="Q28" s="201"/>
      <c r="R28" s="18"/>
    </row>
    <row r="29" spans="1:18" ht="15.75" thickBot="1" x14ac:dyDescent="0.3">
      <c r="A29" s="329">
        <v>1519770</v>
      </c>
      <c r="B29" s="130">
        <f>VLOOKUP(Table14310[[#This Row],[Shop Order]],'EB230'!A:AD,5,FALSE)</f>
        <v>1999</v>
      </c>
      <c r="C29" s="130">
        <f>VLOOKUP(Table14310[[#This Row],[Shop Order]],'EB230'!A:AD,6,FALSE)</f>
        <v>1837</v>
      </c>
      <c r="D29" s="131">
        <f>VLOOKUP(Table14310[[#This Row],[Shop Order]],'EB230'!A:AD,7,FALSE)</f>
        <v>0.91895947973986991</v>
      </c>
      <c r="E29" s="132">
        <f>VLOOKUP(Table14310[[#This Row],[Shop Order]],'EB230'!A:AD,9,FALSE)</f>
        <v>45374</v>
      </c>
      <c r="F29" s="138"/>
      <c r="O29" s="199"/>
      <c r="P29" s="200"/>
      <c r="Q29" s="201"/>
      <c r="R29" s="18"/>
    </row>
    <row r="30" spans="1:18" ht="15.75" thickBot="1" x14ac:dyDescent="0.3">
      <c r="A30" s="564" t="s">
        <v>49</v>
      </c>
      <c r="B30" s="565"/>
      <c r="C30" s="566"/>
      <c r="D30" s="75">
        <f>AVERAGE(D23:D24)</f>
        <v>0.90482746212356213</v>
      </c>
      <c r="E30" s="26"/>
      <c r="O30" s="199"/>
      <c r="P30" s="200"/>
      <c r="Q30" s="201"/>
      <c r="R30" s="18"/>
    </row>
  </sheetData>
  <autoFilter ref="O4:R4" xr:uid="{00000000-0009-0000-0000-000011000000}">
    <filterColumn colId="0" showButton="0"/>
    <filterColumn colId="1" showButton="0"/>
    <sortState xmlns:xlrd2="http://schemas.microsoft.com/office/spreadsheetml/2017/richdata2" ref="O5:R21">
      <sortCondition descending="1" ref="R4"/>
    </sortState>
  </autoFilter>
  <dataConsolidate/>
  <mergeCells count="5">
    <mergeCell ref="A1:R1"/>
    <mergeCell ref="O3:R3"/>
    <mergeCell ref="O4:Q4"/>
    <mergeCell ref="A21:E21"/>
    <mergeCell ref="A30:C30"/>
  </mergeCells>
  <pageMargins left="0" right="0" top="0.75" bottom="0.75" header="0.3" footer="0.3"/>
  <pageSetup scale="70" orientation="landscape" r:id="rId1"/>
  <ignoredErrors>
    <ignoredError sqref="F29" calculatedColumn="1"/>
  </ignoredErrors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pageSetUpPr fitToPage="1"/>
  </sheetPr>
  <dimension ref="A1:Y546"/>
  <sheetViews>
    <sheetView tabSelected="1" topLeftCell="A486" zoomScale="70" zoomScaleNormal="70" workbookViewId="0">
      <selection activeCell="W547" sqref="W547"/>
    </sheetView>
  </sheetViews>
  <sheetFormatPr defaultColWidth="9.140625" defaultRowHeight="15" x14ac:dyDescent="0.25"/>
  <cols>
    <col min="1" max="1" width="13.140625" style="11" bestFit="1" customWidth="1"/>
    <col min="2" max="2" width="11.7109375" style="11" customWidth="1"/>
    <col min="3" max="3" width="6.5703125" style="11" bestFit="1" customWidth="1"/>
    <col min="4" max="4" width="8.28515625" style="11" bestFit="1" customWidth="1"/>
    <col min="5" max="5" width="8" style="11" customWidth="1"/>
    <col min="6" max="6" width="11.140625" style="11" bestFit="1" customWidth="1"/>
    <col min="7" max="7" width="12.7109375" style="15" bestFit="1" customWidth="1"/>
    <col min="8" max="8" width="14.42578125" style="3" customWidth="1"/>
    <col min="9" max="9" width="15.140625" style="3" customWidth="1"/>
    <col min="10" max="11" width="10.7109375" style="3" customWidth="1"/>
    <col min="12" max="12" width="10.7109375" style="5" customWidth="1"/>
    <col min="13" max="14" width="10.7109375" style="11" customWidth="1"/>
    <col min="15" max="15" width="10.7109375" style="2" customWidth="1"/>
    <col min="16" max="19" width="10.7109375" style="11" customWidth="1"/>
    <col min="20" max="20" width="14.28515625" style="11" bestFit="1" customWidth="1"/>
    <col min="21" max="21" width="14.7109375" style="11" customWidth="1"/>
    <col min="22" max="22" width="8.42578125" style="11" customWidth="1"/>
    <col min="23" max="23" width="12" style="11" bestFit="1" customWidth="1"/>
    <col min="24" max="24" width="40.28515625" style="11" bestFit="1" customWidth="1"/>
    <col min="25" max="25" width="47" style="11" bestFit="1" customWidth="1"/>
    <col min="26" max="16384" width="9.140625" style="11"/>
  </cols>
  <sheetData>
    <row r="1" spans="1:25" ht="60.75" thickBot="1" x14ac:dyDescent="0.3">
      <c r="A1" s="43" t="s">
        <v>22</v>
      </c>
      <c r="B1" s="43" t="s">
        <v>47</v>
      </c>
      <c r="C1" s="43" t="s">
        <v>52</v>
      </c>
      <c r="D1" s="43" t="s">
        <v>17</v>
      </c>
      <c r="E1" s="42" t="s">
        <v>16</v>
      </c>
      <c r="F1" s="44" t="s">
        <v>1</v>
      </c>
      <c r="G1" s="45" t="s">
        <v>23</v>
      </c>
      <c r="H1" s="76" t="s">
        <v>66</v>
      </c>
      <c r="I1" s="46" t="s">
        <v>67</v>
      </c>
      <c r="J1" s="46" t="s">
        <v>53</v>
      </c>
      <c r="K1" s="46" t="s">
        <v>58</v>
      </c>
      <c r="L1" s="46" t="s">
        <v>54</v>
      </c>
      <c r="M1" s="46" t="s">
        <v>59</v>
      </c>
      <c r="N1" s="46" t="s">
        <v>55</v>
      </c>
      <c r="O1" s="46" t="s">
        <v>60</v>
      </c>
      <c r="P1" s="46" t="s">
        <v>56</v>
      </c>
      <c r="Q1" s="46" t="s">
        <v>63</v>
      </c>
      <c r="R1" s="46" t="s">
        <v>57</v>
      </c>
      <c r="S1" s="46" t="s">
        <v>64</v>
      </c>
      <c r="T1" s="46" t="s">
        <v>115</v>
      </c>
      <c r="U1" s="46" t="s">
        <v>41</v>
      </c>
      <c r="V1" s="46" t="s">
        <v>4</v>
      </c>
      <c r="W1" s="42" t="s">
        <v>2</v>
      </c>
      <c r="X1" s="33" t="s">
        <v>20</v>
      </c>
      <c r="Y1" s="32" t="s">
        <v>6</v>
      </c>
    </row>
    <row r="2" spans="1:25" ht="15.75" thickBot="1" x14ac:dyDescent="0.3">
      <c r="A2" s="73">
        <v>1504688</v>
      </c>
      <c r="B2" s="73" t="s">
        <v>179</v>
      </c>
      <c r="C2" s="317">
        <v>576</v>
      </c>
      <c r="D2" s="317">
        <v>626</v>
      </c>
      <c r="E2" s="317">
        <v>561</v>
      </c>
      <c r="F2" s="318">
        <f>E2/D2</f>
        <v>0.89616613418530355</v>
      </c>
      <c r="G2" s="48">
        <v>45295</v>
      </c>
      <c r="H2" s="82"/>
      <c r="I2" s="83"/>
      <c r="J2" s="83"/>
      <c r="K2" s="83"/>
      <c r="L2" s="83"/>
      <c r="M2" s="83"/>
      <c r="N2" s="83"/>
      <c r="O2" s="83"/>
      <c r="P2" s="83"/>
      <c r="Q2" s="83"/>
      <c r="R2" s="83"/>
      <c r="S2" s="84"/>
      <c r="T2" s="296"/>
      <c r="U2" s="115"/>
      <c r="V2" s="115"/>
      <c r="W2" s="84"/>
      <c r="X2" s="86" t="s">
        <v>75</v>
      </c>
      <c r="Y2" s="353" t="s">
        <v>70</v>
      </c>
    </row>
    <row r="3" spans="1:25" x14ac:dyDescent="0.25">
      <c r="A3" s="52"/>
      <c r="B3" s="265"/>
      <c r="C3" s="265"/>
      <c r="D3" s="265"/>
      <c r="E3" s="265"/>
      <c r="F3" s="265"/>
      <c r="G3" s="266"/>
      <c r="H3" s="262"/>
      <c r="I3" s="59">
        <v>9</v>
      </c>
      <c r="J3" s="59">
        <v>1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286">
        <f>SUM(H3,J3,L3,N3,P3,R3,U3,T3)</f>
        <v>1</v>
      </c>
      <c r="W3" s="237">
        <f>$V3/$D$2</f>
        <v>1.5974440894568689E-3</v>
      </c>
      <c r="X3" s="35" t="s">
        <v>18</v>
      </c>
      <c r="Y3" s="260"/>
    </row>
    <row r="4" spans="1:25" x14ac:dyDescent="0.25">
      <c r="A4" s="52"/>
      <c r="B4" s="265"/>
      <c r="C4" s="265"/>
      <c r="D4" s="265"/>
      <c r="E4" s="265"/>
      <c r="F4" s="265"/>
      <c r="G4" s="266"/>
      <c r="H4" s="267">
        <v>16</v>
      </c>
      <c r="I4" s="61"/>
      <c r="J4" s="61">
        <v>1</v>
      </c>
      <c r="K4" s="61"/>
      <c r="L4" s="61"/>
      <c r="M4" s="61"/>
      <c r="N4" s="66"/>
      <c r="O4" s="61"/>
      <c r="P4" s="61"/>
      <c r="Q4" s="61"/>
      <c r="R4" s="61"/>
      <c r="S4" s="61"/>
      <c r="T4" s="61"/>
      <c r="U4" s="61"/>
      <c r="V4" s="268">
        <f>SUM(H4,J4,L4,N4,P4,R4,U4,T4)</f>
        <v>17</v>
      </c>
      <c r="W4" s="238">
        <f t="shared" ref="W4:W37" si="0">$V4/$D$2</f>
        <v>2.7156549520766772E-2</v>
      </c>
      <c r="X4" s="196" t="s">
        <v>48</v>
      </c>
      <c r="Y4" s="260"/>
    </row>
    <row r="5" spans="1:25" x14ac:dyDescent="0.25">
      <c r="A5" s="52"/>
      <c r="B5" s="265"/>
      <c r="C5" s="265"/>
      <c r="D5" s="265"/>
      <c r="E5" s="265"/>
      <c r="F5" s="265"/>
      <c r="G5" s="266"/>
      <c r="H5" s="267">
        <v>13</v>
      </c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268">
        <f t="shared" ref="V5:V21" si="1">SUM(H5,J5,L5,N5,P5,R5,U5,T5)</f>
        <v>13</v>
      </c>
      <c r="W5" s="238">
        <f t="shared" si="0"/>
        <v>2.0766773162939296E-2</v>
      </c>
      <c r="X5" s="36" t="s">
        <v>15</v>
      </c>
      <c r="Y5" s="282"/>
    </row>
    <row r="6" spans="1:25" x14ac:dyDescent="0.25">
      <c r="A6" s="52"/>
      <c r="B6" s="265"/>
      <c r="C6" s="265"/>
      <c r="D6" s="265"/>
      <c r="E6" s="265"/>
      <c r="F6" s="265"/>
      <c r="G6" s="266"/>
      <c r="H6" s="267"/>
      <c r="I6" s="61"/>
      <c r="J6" s="290"/>
      <c r="K6" s="290"/>
      <c r="L6" s="290"/>
      <c r="M6" s="61"/>
      <c r="N6" s="61"/>
      <c r="O6" s="61"/>
      <c r="P6" s="61"/>
      <c r="Q6" s="61"/>
      <c r="R6" s="61"/>
      <c r="S6" s="61"/>
      <c r="T6" s="61"/>
      <c r="U6" s="61"/>
      <c r="V6" s="268">
        <f t="shared" si="1"/>
        <v>0</v>
      </c>
      <c r="W6" s="238">
        <f t="shared" si="0"/>
        <v>0</v>
      </c>
      <c r="X6" s="338" t="s">
        <v>84</v>
      </c>
      <c r="Y6" s="282"/>
    </row>
    <row r="7" spans="1:25" x14ac:dyDescent="0.25">
      <c r="A7" s="52"/>
      <c r="B7" s="265"/>
      <c r="C7" s="265"/>
      <c r="D7" s="265"/>
      <c r="E7" s="265"/>
      <c r="F7" s="265"/>
      <c r="G7" s="266"/>
      <c r="H7" s="267"/>
      <c r="I7" s="61">
        <v>4</v>
      </c>
      <c r="J7" s="61">
        <v>6</v>
      </c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268">
        <f t="shared" si="1"/>
        <v>6</v>
      </c>
      <c r="W7" s="238">
        <f t="shared" si="0"/>
        <v>9.5846645367412137E-3</v>
      </c>
      <c r="X7" s="36" t="s">
        <v>13</v>
      </c>
      <c r="Y7" s="146"/>
    </row>
    <row r="8" spans="1:25" x14ac:dyDescent="0.25">
      <c r="A8" s="52"/>
      <c r="B8" s="265"/>
      <c r="C8" s="265"/>
      <c r="D8" s="265"/>
      <c r="E8" s="265"/>
      <c r="F8" s="265"/>
      <c r="G8" s="266"/>
      <c r="H8" s="267"/>
      <c r="I8" s="61">
        <v>3</v>
      </c>
      <c r="J8" s="61">
        <v>2</v>
      </c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268">
        <f t="shared" si="1"/>
        <v>2</v>
      </c>
      <c r="W8" s="238">
        <f t="shared" si="0"/>
        <v>3.1948881789137379E-3</v>
      </c>
      <c r="X8" s="36" t="s">
        <v>14</v>
      </c>
      <c r="Y8" s="264"/>
    </row>
    <row r="9" spans="1:25" x14ac:dyDescent="0.25">
      <c r="A9" s="52" t="s">
        <v>157</v>
      </c>
      <c r="B9" s="265"/>
      <c r="C9" s="265"/>
      <c r="D9" s="265"/>
      <c r="E9" s="265"/>
      <c r="F9" s="265"/>
      <c r="G9" s="266"/>
      <c r="H9" s="267"/>
      <c r="I9" s="61">
        <v>8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268">
        <f t="shared" si="1"/>
        <v>0</v>
      </c>
      <c r="W9" s="238">
        <f t="shared" si="0"/>
        <v>0</v>
      </c>
      <c r="X9" s="36" t="s">
        <v>7</v>
      </c>
      <c r="Y9" s="264"/>
    </row>
    <row r="10" spans="1:25" x14ac:dyDescent="0.25">
      <c r="A10" s="52"/>
      <c r="B10" s="265"/>
      <c r="C10" s="265"/>
      <c r="D10" s="265"/>
      <c r="E10" s="265"/>
      <c r="F10" s="265"/>
      <c r="G10" s="266"/>
      <c r="H10" s="267"/>
      <c r="I10" s="61">
        <v>1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268">
        <f t="shared" si="1"/>
        <v>0</v>
      </c>
      <c r="W10" s="238">
        <f t="shared" si="0"/>
        <v>0</v>
      </c>
      <c r="X10" s="36" t="s">
        <v>8</v>
      </c>
      <c r="Y10" s="291"/>
    </row>
    <row r="11" spans="1:25" x14ac:dyDescent="0.25">
      <c r="A11" s="52"/>
      <c r="B11" s="265"/>
      <c r="C11" s="265"/>
      <c r="D11" s="265"/>
      <c r="E11" s="265"/>
      <c r="F11" s="265"/>
      <c r="G11" s="266"/>
      <c r="H11" s="285"/>
      <c r="I11" s="61"/>
      <c r="J11" s="61">
        <v>1</v>
      </c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268">
        <f t="shared" si="1"/>
        <v>1</v>
      </c>
      <c r="W11" s="238">
        <f t="shared" si="0"/>
        <v>1.5974440894568689E-3</v>
      </c>
      <c r="X11" s="36" t="s">
        <v>68</v>
      </c>
      <c r="Y11" s="291"/>
    </row>
    <row r="12" spans="1:25" x14ac:dyDescent="0.25">
      <c r="A12" s="52"/>
      <c r="B12" s="265"/>
      <c r="C12" s="265"/>
      <c r="D12" s="265"/>
      <c r="E12" s="265"/>
      <c r="F12" s="265"/>
      <c r="G12" s="266"/>
      <c r="H12" s="285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268">
        <f t="shared" si="1"/>
        <v>0</v>
      </c>
      <c r="W12" s="238">
        <f t="shared" si="0"/>
        <v>0</v>
      </c>
      <c r="X12" s="36" t="s">
        <v>0</v>
      </c>
      <c r="Y12" s="292"/>
    </row>
    <row r="13" spans="1:25" x14ac:dyDescent="0.25">
      <c r="A13" s="52"/>
      <c r="B13" s="265"/>
      <c r="C13" s="265"/>
      <c r="D13" s="265"/>
      <c r="E13" s="265"/>
      <c r="F13" s="265"/>
      <c r="G13" s="266"/>
      <c r="H13" s="285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268">
        <f t="shared" si="1"/>
        <v>0</v>
      </c>
      <c r="W13" s="238">
        <f t="shared" si="0"/>
        <v>0</v>
      </c>
      <c r="X13" s="36" t="s">
        <v>19</v>
      </c>
      <c r="Y13" s="292"/>
    </row>
    <row r="14" spans="1:25" x14ac:dyDescent="0.25">
      <c r="A14" s="52"/>
      <c r="B14" s="265"/>
      <c r="C14" s="265"/>
      <c r="D14" s="265"/>
      <c r="E14" s="265"/>
      <c r="F14" s="265" t="s">
        <v>100</v>
      </c>
      <c r="G14" s="266"/>
      <c r="H14" s="285"/>
      <c r="I14" s="61">
        <v>16</v>
      </c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>
        <v>1</v>
      </c>
      <c r="V14" s="268">
        <f t="shared" si="1"/>
        <v>3</v>
      </c>
      <c r="W14" s="238">
        <f t="shared" si="0"/>
        <v>4.7923322683706068E-3</v>
      </c>
      <c r="X14" s="36" t="s">
        <v>3</v>
      </c>
      <c r="Y14" s="292"/>
    </row>
    <row r="15" spans="1:25" x14ac:dyDescent="0.25">
      <c r="A15" s="303"/>
      <c r="B15" s="305"/>
      <c r="C15" s="305"/>
      <c r="D15" s="305"/>
      <c r="E15" s="305"/>
      <c r="F15" s="305"/>
      <c r="G15" s="304"/>
      <c r="H15" s="293"/>
      <c r="I15" s="61">
        <v>6</v>
      </c>
      <c r="J15" s="66"/>
      <c r="K15" s="66"/>
      <c r="L15" s="66"/>
      <c r="M15" s="61"/>
      <c r="N15" s="66"/>
      <c r="O15" s="66"/>
      <c r="P15" s="66"/>
      <c r="Q15" s="66"/>
      <c r="R15" s="66"/>
      <c r="S15" s="66"/>
      <c r="T15" s="66"/>
      <c r="U15" s="66"/>
      <c r="V15" s="268">
        <f t="shared" si="1"/>
        <v>0</v>
      </c>
      <c r="W15" s="238">
        <f t="shared" si="0"/>
        <v>0</v>
      </c>
      <c r="X15" s="36" t="s">
        <v>199</v>
      </c>
      <c r="Y15" s="292"/>
    </row>
    <row r="16" spans="1:25" x14ac:dyDescent="0.25">
      <c r="A16" s="303"/>
      <c r="B16" s="305"/>
      <c r="C16" s="305"/>
      <c r="D16" s="305"/>
      <c r="E16" s="305"/>
      <c r="F16" s="305"/>
      <c r="G16" s="304"/>
      <c r="H16" s="289"/>
      <c r="I16" s="61">
        <v>2</v>
      </c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268">
        <f t="shared" si="1"/>
        <v>0</v>
      </c>
      <c r="W16" s="238">
        <f t="shared" si="0"/>
        <v>0</v>
      </c>
      <c r="X16" s="196" t="s">
        <v>80</v>
      </c>
      <c r="Y16" s="292"/>
    </row>
    <row r="17" spans="1:25" x14ac:dyDescent="0.25">
      <c r="A17" s="52"/>
      <c r="B17" s="265"/>
      <c r="C17" s="265"/>
      <c r="D17" s="265"/>
      <c r="E17" s="265"/>
      <c r="F17" s="265"/>
      <c r="G17" s="56"/>
      <c r="H17" s="276"/>
      <c r="I17" s="276">
        <v>9</v>
      </c>
      <c r="J17" s="61"/>
      <c r="K17" s="61"/>
      <c r="L17" s="61"/>
      <c r="M17" s="276"/>
      <c r="N17" s="61"/>
      <c r="O17" s="61"/>
      <c r="P17" s="61"/>
      <c r="Q17" s="61"/>
      <c r="R17" s="61"/>
      <c r="S17" s="61"/>
      <c r="T17" s="61"/>
      <c r="U17" s="61"/>
      <c r="V17" s="268">
        <f t="shared" si="1"/>
        <v>0</v>
      </c>
      <c r="W17" s="238">
        <f t="shared" si="0"/>
        <v>0</v>
      </c>
      <c r="X17" s="196" t="s">
        <v>12</v>
      </c>
      <c r="Y17" s="294"/>
    </row>
    <row r="18" spans="1:25" x14ac:dyDescent="0.25">
      <c r="A18" s="52"/>
      <c r="B18" s="265"/>
      <c r="C18" s="265"/>
      <c r="D18" s="265"/>
      <c r="E18" s="265"/>
      <c r="F18" s="265"/>
      <c r="G18" s="56"/>
      <c r="H18" s="276"/>
      <c r="I18" s="61">
        <v>8</v>
      </c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268">
        <f t="shared" si="1"/>
        <v>0</v>
      </c>
      <c r="W18" s="238">
        <f t="shared" si="0"/>
        <v>0</v>
      </c>
      <c r="X18" s="36" t="s">
        <v>92</v>
      </c>
      <c r="Y18" s="147" t="s">
        <v>195</v>
      </c>
    </row>
    <row r="19" spans="1:25" x14ac:dyDescent="0.25">
      <c r="A19" s="52"/>
      <c r="B19" s="265"/>
      <c r="C19" s="265"/>
      <c r="D19" s="265"/>
      <c r="E19" s="265"/>
      <c r="F19" s="265"/>
      <c r="G19" s="266"/>
      <c r="H19" s="267"/>
      <c r="I19" s="61"/>
      <c r="J19" s="61">
        <v>1</v>
      </c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268">
        <f t="shared" si="1"/>
        <v>1</v>
      </c>
      <c r="W19" s="238">
        <f t="shared" si="0"/>
        <v>1.5974440894568689E-3</v>
      </c>
      <c r="X19" s="197" t="s">
        <v>27</v>
      </c>
      <c r="Y19" s="292"/>
    </row>
    <row r="20" spans="1:25" x14ac:dyDescent="0.25">
      <c r="A20" s="52"/>
      <c r="B20" s="265"/>
      <c r="C20" s="265"/>
      <c r="D20" s="265"/>
      <c r="E20" s="265"/>
      <c r="F20" s="265"/>
      <c r="G20" s="266"/>
      <c r="H20" s="267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268">
        <f t="shared" si="1"/>
        <v>0</v>
      </c>
      <c r="W20" s="238">
        <f t="shared" si="0"/>
        <v>0</v>
      </c>
      <c r="X20" s="36" t="s">
        <v>94</v>
      </c>
      <c r="Y20" s="292"/>
    </row>
    <row r="21" spans="1:25" x14ac:dyDescent="0.25">
      <c r="A21" s="52"/>
      <c r="B21" s="265"/>
      <c r="C21" s="265"/>
      <c r="D21" s="265"/>
      <c r="E21" s="265"/>
      <c r="F21" s="265" t="s">
        <v>100</v>
      </c>
      <c r="G21" s="266"/>
      <c r="H21" s="273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268">
        <f t="shared" si="1"/>
        <v>0</v>
      </c>
      <c r="W21" s="238">
        <f t="shared" si="0"/>
        <v>0</v>
      </c>
      <c r="X21" s="36" t="s">
        <v>186</v>
      </c>
      <c r="Y21" s="291"/>
    </row>
    <row r="22" spans="1:25" ht="15.75" thickBot="1" x14ac:dyDescent="0.3">
      <c r="A22" s="52"/>
      <c r="B22" s="265"/>
      <c r="C22" s="265"/>
      <c r="D22" s="265"/>
      <c r="E22" s="265"/>
      <c r="F22" s="265"/>
      <c r="G22" s="266"/>
      <c r="H22" s="273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268">
        <f>SUM(H22,J22,L22,N22,P22,R22,U22,T22)</f>
        <v>0</v>
      </c>
      <c r="W22" s="258">
        <f t="shared" si="0"/>
        <v>0</v>
      </c>
      <c r="X22" s="197" t="s">
        <v>34</v>
      </c>
      <c r="Y22" s="292"/>
    </row>
    <row r="23" spans="1:25" ht="15.75" thickBot="1" x14ac:dyDescent="0.3">
      <c r="A23" s="52"/>
      <c r="B23" s="265"/>
      <c r="C23" s="265"/>
      <c r="D23" s="265"/>
      <c r="E23" s="265"/>
      <c r="F23" s="265"/>
      <c r="G23" s="266"/>
      <c r="H23" s="295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296"/>
      <c r="W23" s="166"/>
      <c r="X23" s="74" t="s">
        <v>21</v>
      </c>
      <c r="Y23" s="292"/>
    </row>
    <row r="24" spans="1:25" x14ac:dyDescent="0.25">
      <c r="A24" s="52"/>
      <c r="B24" s="265"/>
      <c r="C24" s="265"/>
      <c r="D24" s="265"/>
      <c r="E24" s="265"/>
      <c r="F24" s="265"/>
      <c r="G24" s="266"/>
      <c r="H24" s="297">
        <v>1</v>
      </c>
      <c r="I24" s="62"/>
      <c r="J24" s="62"/>
      <c r="K24" s="62"/>
      <c r="L24" s="62"/>
      <c r="M24" s="62"/>
      <c r="N24" s="62"/>
      <c r="O24" s="62"/>
      <c r="P24" s="62"/>
      <c r="Q24" s="61"/>
      <c r="R24" s="62"/>
      <c r="S24" s="62"/>
      <c r="T24" s="62"/>
      <c r="U24" s="62"/>
      <c r="V24" s="268">
        <f t="shared" ref="V24:V37" si="2">SUM(H24,J24,L24,N24,P24,R24,U24)</f>
        <v>1</v>
      </c>
      <c r="W24" s="237">
        <f t="shared" si="0"/>
        <v>1.5974440894568689E-3</v>
      </c>
      <c r="X24" s="341" t="s">
        <v>71</v>
      </c>
      <c r="Y24" s="292"/>
    </row>
    <row r="25" spans="1:25" x14ac:dyDescent="0.25">
      <c r="A25" s="52"/>
      <c r="B25" s="265"/>
      <c r="C25" s="265"/>
      <c r="D25" s="265"/>
      <c r="E25" s="265"/>
      <c r="F25" s="265"/>
      <c r="G25" s="266"/>
      <c r="H25" s="267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268">
        <f t="shared" si="2"/>
        <v>0</v>
      </c>
      <c r="W25" s="238">
        <f t="shared" si="0"/>
        <v>0</v>
      </c>
      <c r="X25" s="101" t="s">
        <v>26</v>
      </c>
      <c r="Y25" s="146"/>
    </row>
    <row r="26" spans="1:25" x14ac:dyDescent="0.25">
      <c r="A26" s="52"/>
      <c r="B26" s="265"/>
      <c r="C26" s="265"/>
      <c r="D26" s="265"/>
      <c r="E26" s="265"/>
      <c r="F26" s="265"/>
      <c r="G26" s="266"/>
      <c r="H26" s="267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268">
        <f t="shared" si="2"/>
        <v>0</v>
      </c>
      <c r="W26" s="238">
        <f t="shared" si="0"/>
        <v>0</v>
      </c>
      <c r="X26" s="337" t="s">
        <v>172</v>
      </c>
      <c r="Y26" s="146"/>
    </row>
    <row r="27" spans="1:25" x14ac:dyDescent="0.25">
      <c r="A27" s="52"/>
      <c r="B27" s="265"/>
      <c r="C27" s="265"/>
      <c r="D27" s="265"/>
      <c r="E27" s="265"/>
      <c r="F27" s="265"/>
      <c r="G27" s="266"/>
      <c r="H27" s="267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268">
        <f t="shared" si="2"/>
        <v>0</v>
      </c>
      <c r="W27" s="238">
        <f t="shared" si="0"/>
        <v>0</v>
      </c>
      <c r="X27" s="338" t="s">
        <v>25</v>
      </c>
      <c r="Y27" s="291"/>
    </row>
    <row r="28" spans="1:25" x14ac:dyDescent="0.25">
      <c r="A28" s="52"/>
      <c r="B28" s="265"/>
      <c r="C28" s="265"/>
      <c r="D28" s="265"/>
      <c r="E28" s="265"/>
      <c r="F28" s="265" t="s">
        <v>100</v>
      </c>
      <c r="G28" s="266"/>
      <c r="H28" s="267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268">
        <f t="shared" si="2"/>
        <v>0</v>
      </c>
      <c r="W28" s="238">
        <f t="shared" si="0"/>
        <v>0</v>
      </c>
      <c r="X28" s="337" t="s">
        <v>51</v>
      </c>
      <c r="Y28" s="146"/>
    </row>
    <row r="29" spans="1:25" x14ac:dyDescent="0.25">
      <c r="A29" s="52"/>
      <c r="B29" s="265"/>
      <c r="C29" s="265"/>
      <c r="D29" s="265"/>
      <c r="E29" s="265"/>
      <c r="F29" s="265"/>
      <c r="G29" s="266"/>
      <c r="H29" s="267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268">
        <f t="shared" si="2"/>
        <v>0</v>
      </c>
      <c r="W29" s="238">
        <f t="shared" si="0"/>
        <v>0</v>
      </c>
      <c r="X29" s="196" t="s">
        <v>12</v>
      </c>
      <c r="Y29" s="291" t="s">
        <v>180</v>
      </c>
    </row>
    <row r="30" spans="1:25" x14ac:dyDescent="0.25">
      <c r="A30" s="52"/>
      <c r="B30" s="265"/>
      <c r="C30" s="265"/>
      <c r="D30" s="265"/>
      <c r="E30" s="265"/>
      <c r="F30" s="265"/>
      <c r="G30" s="266"/>
      <c r="H30" s="267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268">
        <f t="shared" si="2"/>
        <v>0</v>
      </c>
      <c r="W30" s="238">
        <f t="shared" si="0"/>
        <v>0</v>
      </c>
      <c r="X30" s="336" t="s">
        <v>161</v>
      </c>
      <c r="Y30" s="291" t="s">
        <v>220</v>
      </c>
    </row>
    <row r="31" spans="1:25" x14ac:dyDescent="0.25">
      <c r="A31" s="52"/>
      <c r="B31" s="265"/>
      <c r="C31" s="265"/>
      <c r="D31" s="265"/>
      <c r="E31" s="265"/>
      <c r="F31" s="265"/>
      <c r="G31" s="266"/>
      <c r="H31" s="267">
        <v>1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268">
        <f t="shared" si="2"/>
        <v>1</v>
      </c>
      <c r="W31" s="238">
        <f t="shared" si="0"/>
        <v>1.5974440894568689E-3</v>
      </c>
      <c r="X31" s="338" t="s">
        <v>169</v>
      </c>
      <c r="Y31" s="291" t="s">
        <v>219</v>
      </c>
    </row>
    <row r="32" spans="1:25" x14ac:dyDescent="0.25">
      <c r="A32" s="52"/>
      <c r="B32" s="265"/>
      <c r="C32" s="265"/>
      <c r="D32" s="265"/>
      <c r="E32" s="265"/>
      <c r="F32" s="265"/>
      <c r="G32" s="266"/>
      <c r="H32" s="267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268">
        <f t="shared" si="2"/>
        <v>0</v>
      </c>
      <c r="W32" s="238">
        <f t="shared" si="0"/>
        <v>0</v>
      </c>
      <c r="X32" s="338" t="s">
        <v>197</v>
      </c>
      <c r="Y32" s="291"/>
    </row>
    <row r="33" spans="1:25" x14ac:dyDescent="0.25">
      <c r="A33" s="52"/>
      <c r="B33" s="265"/>
      <c r="C33" s="265"/>
      <c r="D33" s="265"/>
      <c r="E33" s="265"/>
      <c r="F33" s="265"/>
      <c r="G33" s="266"/>
      <c r="H33" s="267">
        <v>9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268">
        <f t="shared" si="2"/>
        <v>9</v>
      </c>
      <c r="W33" s="238">
        <f t="shared" si="0"/>
        <v>1.437699680511182E-2</v>
      </c>
      <c r="X33" s="338" t="s">
        <v>101</v>
      </c>
      <c r="Y33" s="291"/>
    </row>
    <row r="34" spans="1:25" x14ac:dyDescent="0.25">
      <c r="A34" s="52"/>
      <c r="B34" s="265"/>
      <c r="C34" s="265"/>
      <c r="D34" s="265"/>
      <c r="E34" s="265"/>
      <c r="F34" s="265"/>
      <c r="G34" s="266"/>
      <c r="H34" s="267">
        <v>1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268">
        <f t="shared" si="2"/>
        <v>1</v>
      </c>
      <c r="W34" s="238">
        <f t="shared" si="0"/>
        <v>1.5974440894568689E-3</v>
      </c>
      <c r="X34" s="196" t="s">
        <v>35</v>
      </c>
      <c r="Y34" s="291"/>
    </row>
    <row r="35" spans="1:25" x14ac:dyDescent="0.25">
      <c r="A35" s="52"/>
      <c r="B35" s="265"/>
      <c r="C35" s="265"/>
      <c r="D35" s="265"/>
      <c r="E35" s="265"/>
      <c r="F35" s="265"/>
      <c r="G35" s="266"/>
      <c r="H35" s="267">
        <v>9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268">
        <f t="shared" si="2"/>
        <v>9</v>
      </c>
      <c r="W35" s="238">
        <f t="shared" si="0"/>
        <v>1.437699680511182E-2</v>
      </c>
      <c r="X35" s="196" t="s">
        <v>203</v>
      </c>
      <c r="Y35" s="291"/>
    </row>
    <row r="36" spans="1:25" ht="15.75" thickBot="1" x14ac:dyDescent="0.3">
      <c r="A36" s="155"/>
      <c r="B36" s="156"/>
      <c r="C36" s="156"/>
      <c r="D36" s="156"/>
      <c r="E36" s="156"/>
      <c r="F36" s="156"/>
      <c r="G36" s="266"/>
      <c r="H36" s="267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268">
        <f t="shared" si="2"/>
        <v>0</v>
      </c>
      <c r="W36" s="236">
        <f t="shared" si="0"/>
        <v>0</v>
      </c>
      <c r="X36" s="38" t="s">
        <v>85</v>
      </c>
      <c r="Y36" s="298"/>
    </row>
    <row r="37" spans="1:25" ht="15.75" thickBot="1" x14ac:dyDescent="0.3">
      <c r="A37" s="41"/>
      <c r="B37" s="41"/>
      <c r="C37" s="41"/>
      <c r="D37" s="41"/>
      <c r="E37" s="41"/>
      <c r="F37" s="41"/>
      <c r="G37" s="47" t="s">
        <v>4</v>
      </c>
      <c r="H37" s="57">
        <f>SUM(H3:H36)</f>
        <v>50</v>
      </c>
      <c r="I37" s="57">
        <f>SUM(I3:I36)</f>
        <v>66</v>
      </c>
      <c r="J37" s="57">
        <f t="shared" ref="J37:U37" si="3">SUM(J3:J36)</f>
        <v>14</v>
      </c>
      <c r="K37" s="57">
        <f t="shared" si="3"/>
        <v>0</v>
      </c>
      <c r="L37" s="57">
        <f t="shared" si="3"/>
        <v>0</v>
      </c>
      <c r="M37" s="57">
        <f t="shared" si="3"/>
        <v>0</v>
      </c>
      <c r="N37" s="57">
        <f t="shared" si="3"/>
        <v>0</v>
      </c>
      <c r="O37" s="57">
        <f t="shared" si="3"/>
        <v>0</v>
      </c>
      <c r="P37" s="57">
        <f t="shared" si="3"/>
        <v>0</v>
      </c>
      <c r="Q37" s="57">
        <f t="shared" si="3"/>
        <v>0</v>
      </c>
      <c r="R37" s="57">
        <f t="shared" si="3"/>
        <v>0</v>
      </c>
      <c r="S37" s="57">
        <f t="shared" si="3"/>
        <v>0</v>
      </c>
      <c r="T37" s="57">
        <f t="shared" si="3"/>
        <v>0</v>
      </c>
      <c r="U37" s="57">
        <f t="shared" si="3"/>
        <v>1</v>
      </c>
      <c r="V37" s="288">
        <f t="shared" si="2"/>
        <v>65</v>
      </c>
      <c r="W37" s="328">
        <f t="shared" si="0"/>
        <v>0.10383386581469649</v>
      </c>
    </row>
    <row r="39" spans="1:25" ht="15.75" thickBot="1" x14ac:dyDescent="0.3"/>
    <row r="40" spans="1:25" ht="60.75" thickBot="1" x14ac:dyDescent="0.3">
      <c r="A40" s="43" t="s">
        <v>22</v>
      </c>
      <c r="B40" s="43" t="s">
        <v>47</v>
      </c>
      <c r="C40" s="43" t="s">
        <v>52</v>
      </c>
      <c r="D40" s="43" t="s">
        <v>17</v>
      </c>
      <c r="E40" s="42" t="s">
        <v>16</v>
      </c>
      <c r="F40" s="44" t="s">
        <v>1</v>
      </c>
      <c r="G40" s="45" t="s">
        <v>23</v>
      </c>
      <c r="H40" s="76" t="s">
        <v>66</v>
      </c>
      <c r="I40" s="46" t="s">
        <v>67</v>
      </c>
      <c r="J40" s="46" t="s">
        <v>53</v>
      </c>
      <c r="K40" s="46" t="s">
        <v>58</v>
      </c>
      <c r="L40" s="46" t="s">
        <v>54</v>
      </c>
      <c r="M40" s="46" t="s">
        <v>59</v>
      </c>
      <c r="N40" s="46" t="s">
        <v>55</v>
      </c>
      <c r="O40" s="46" t="s">
        <v>60</v>
      </c>
      <c r="P40" s="46" t="s">
        <v>56</v>
      </c>
      <c r="Q40" s="46" t="s">
        <v>63</v>
      </c>
      <c r="R40" s="46" t="s">
        <v>57</v>
      </c>
      <c r="S40" s="46" t="s">
        <v>64</v>
      </c>
      <c r="T40" s="46" t="s">
        <v>115</v>
      </c>
      <c r="U40" s="46" t="s">
        <v>41</v>
      </c>
      <c r="V40" s="46" t="s">
        <v>4</v>
      </c>
      <c r="W40" s="42" t="s">
        <v>2</v>
      </c>
      <c r="X40" s="33" t="s">
        <v>20</v>
      </c>
      <c r="Y40" s="32" t="s">
        <v>6</v>
      </c>
    </row>
    <row r="41" spans="1:25" ht="15.75" thickBot="1" x14ac:dyDescent="0.3">
      <c r="A41" s="73">
        <v>1513192</v>
      </c>
      <c r="B41" s="73" t="s">
        <v>179</v>
      </c>
      <c r="C41" s="317">
        <v>576</v>
      </c>
      <c r="D41" s="317">
        <v>678</v>
      </c>
      <c r="E41" s="317">
        <v>556</v>
      </c>
      <c r="F41" s="318">
        <f>E41/D41</f>
        <v>0.82005899705014751</v>
      </c>
      <c r="G41" s="48">
        <v>45296</v>
      </c>
      <c r="H41" s="82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4"/>
      <c r="T41" s="296"/>
      <c r="U41" s="115"/>
      <c r="V41" s="115"/>
      <c r="W41" s="84"/>
      <c r="X41" s="86" t="s">
        <v>75</v>
      </c>
      <c r="Y41" s="353" t="s">
        <v>70</v>
      </c>
    </row>
    <row r="42" spans="1:25" x14ac:dyDescent="0.25">
      <c r="A42" s="52"/>
      <c r="B42" s="265"/>
      <c r="C42" s="265"/>
      <c r="D42" s="265"/>
      <c r="E42" s="265"/>
      <c r="F42" s="265"/>
      <c r="G42" s="266"/>
      <c r="H42" s="262"/>
      <c r="I42" s="59">
        <v>7</v>
      </c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286">
        <f>SUM(H42,J42,L42,N42,P42,R42,U42,T42)</f>
        <v>0</v>
      </c>
      <c r="W42" s="237">
        <f>$V42/$D$41</f>
        <v>0</v>
      </c>
      <c r="X42" s="35" t="s">
        <v>18</v>
      </c>
      <c r="Y42" s="260"/>
    </row>
    <row r="43" spans="1:25" x14ac:dyDescent="0.25">
      <c r="A43" s="52"/>
      <c r="B43" s="265"/>
      <c r="C43" s="265"/>
      <c r="D43" s="265"/>
      <c r="E43" s="265"/>
      <c r="F43" s="265"/>
      <c r="G43" s="266"/>
      <c r="H43" s="267">
        <v>74</v>
      </c>
      <c r="I43" s="61"/>
      <c r="J43" s="61">
        <v>1</v>
      </c>
      <c r="K43" s="61"/>
      <c r="L43" s="61"/>
      <c r="M43" s="61"/>
      <c r="N43" s="66"/>
      <c r="O43" s="61"/>
      <c r="P43" s="61"/>
      <c r="Q43" s="61"/>
      <c r="R43" s="61"/>
      <c r="S43" s="61"/>
      <c r="T43" s="61"/>
      <c r="U43" s="61"/>
      <c r="V43" s="268">
        <f>SUM(H43,J43,L43,N43,P43,R43,U43,T43)</f>
        <v>75</v>
      </c>
      <c r="W43" s="238">
        <f t="shared" ref="W43:W76" si="4">$V43/$D$41</f>
        <v>0.11061946902654868</v>
      </c>
      <c r="X43" s="196" t="s">
        <v>48</v>
      </c>
      <c r="Y43" s="260"/>
    </row>
    <row r="44" spans="1:25" x14ac:dyDescent="0.25">
      <c r="A44" s="52"/>
      <c r="B44" s="265"/>
      <c r="C44" s="265"/>
      <c r="D44" s="265"/>
      <c r="E44" s="265"/>
      <c r="F44" s="265"/>
      <c r="G44" s="266"/>
      <c r="H44" s="267">
        <v>11</v>
      </c>
      <c r="I44" s="61"/>
      <c r="J44" s="61">
        <v>1</v>
      </c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268">
        <f t="shared" ref="V44:V60" si="5">SUM(H44,J44,L44,N44,P44,R44,U44,T44)</f>
        <v>12</v>
      </c>
      <c r="W44" s="238">
        <f t="shared" si="4"/>
        <v>1.7699115044247787E-2</v>
      </c>
      <c r="X44" s="36" t="s">
        <v>15</v>
      </c>
      <c r="Y44" s="282"/>
    </row>
    <row r="45" spans="1:25" x14ac:dyDescent="0.25">
      <c r="A45" s="52"/>
      <c r="B45" s="265"/>
      <c r="C45" s="265"/>
      <c r="D45" s="265"/>
      <c r="E45" s="265"/>
      <c r="F45" s="265"/>
      <c r="G45" s="266"/>
      <c r="H45" s="267">
        <v>1</v>
      </c>
      <c r="I45" s="61"/>
      <c r="J45" s="290"/>
      <c r="K45" s="290"/>
      <c r="L45" s="290"/>
      <c r="M45" s="61"/>
      <c r="N45" s="61"/>
      <c r="O45" s="61"/>
      <c r="P45" s="61"/>
      <c r="Q45" s="61"/>
      <c r="R45" s="61"/>
      <c r="S45" s="61"/>
      <c r="T45" s="61"/>
      <c r="U45" s="61"/>
      <c r="V45" s="268">
        <f t="shared" si="5"/>
        <v>1</v>
      </c>
      <c r="W45" s="238">
        <f t="shared" si="4"/>
        <v>1.4749262536873156E-3</v>
      </c>
      <c r="X45" s="338" t="s">
        <v>84</v>
      </c>
      <c r="Y45" s="282"/>
    </row>
    <row r="46" spans="1:25" x14ac:dyDescent="0.25">
      <c r="A46" s="52"/>
      <c r="B46" s="265"/>
      <c r="C46" s="265"/>
      <c r="D46" s="265"/>
      <c r="E46" s="265"/>
      <c r="F46" s="265"/>
      <c r="G46" s="266"/>
      <c r="H46" s="267"/>
      <c r="I46" s="61"/>
      <c r="J46" s="61">
        <v>1</v>
      </c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>
        <v>1</v>
      </c>
      <c r="V46" s="268">
        <f t="shared" si="5"/>
        <v>2</v>
      </c>
      <c r="W46" s="238">
        <f t="shared" si="4"/>
        <v>2.9498525073746312E-3</v>
      </c>
      <c r="X46" s="36" t="s">
        <v>13</v>
      </c>
      <c r="Y46" s="146"/>
    </row>
    <row r="47" spans="1:25" x14ac:dyDescent="0.25">
      <c r="A47" s="52"/>
      <c r="B47" s="265"/>
      <c r="C47" s="265"/>
      <c r="D47" s="265"/>
      <c r="E47" s="265"/>
      <c r="F47" s="265"/>
      <c r="G47" s="266"/>
      <c r="H47" s="267"/>
      <c r="I47" s="61">
        <v>2</v>
      </c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>
        <v>1</v>
      </c>
      <c r="V47" s="268">
        <f t="shared" si="5"/>
        <v>1</v>
      </c>
      <c r="W47" s="238">
        <f t="shared" si="4"/>
        <v>1.4749262536873156E-3</v>
      </c>
      <c r="X47" s="36" t="s">
        <v>14</v>
      </c>
      <c r="Y47" s="264"/>
    </row>
    <row r="48" spans="1:25" x14ac:dyDescent="0.25">
      <c r="A48" s="52" t="s">
        <v>157</v>
      </c>
      <c r="B48" s="265"/>
      <c r="C48" s="265"/>
      <c r="D48" s="265"/>
      <c r="E48" s="265"/>
      <c r="F48" s="265"/>
      <c r="G48" s="266"/>
      <c r="H48" s="267"/>
      <c r="I48" s="61">
        <v>6</v>
      </c>
      <c r="J48" s="61">
        <v>8</v>
      </c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268">
        <f t="shared" si="5"/>
        <v>8</v>
      </c>
      <c r="W48" s="238">
        <f t="shared" si="4"/>
        <v>1.1799410029498525E-2</v>
      </c>
      <c r="X48" s="36" t="s">
        <v>7</v>
      </c>
      <c r="Y48" s="264"/>
    </row>
    <row r="49" spans="1:25" x14ac:dyDescent="0.25">
      <c r="A49" s="52"/>
      <c r="B49" s="265"/>
      <c r="C49" s="265"/>
      <c r="D49" s="265"/>
      <c r="E49" s="265"/>
      <c r="F49" s="265"/>
      <c r="G49" s="266"/>
      <c r="H49" s="267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268">
        <f t="shared" si="5"/>
        <v>0</v>
      </c>
      <c r="W49" s="238">
        <f t="shared" si="4"/>
        <v>0</v>
      </c>
      <c r="X49" s="36" t="s">
        <v>8</v>
      </c>
      <c r="Y49" s="291"/>
    </row>
    <row r="50" spans="1:25" x14ac:dyDescent="0.25">
      <c r="A50" s="52"/>
      <c r="B50" s="265"/>
      <c r="C50" s="265"/>
      <c r="D50" s="265"/>
      <c r="E50" s="265"/>
      <c r="F50" s="265"/>
      <c r="G50" s="266"/>
      <c r="H50" s="285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268">
        <f t="shared" si="5"/>
        <v>0</v>
      </c>
      <c r="W50" s="238">
        <f t="shared" si="4"/>
        <v>0</v>
      </c>
      <c r="X50" s="36" t="s">
        <v>68</v>
      </c>
      <c r="Y50" s="291"/>
    </row>
    <row r="51" spans="1:25" x14ac:dyDescent="0.25">
      <c r="A51" s="52"/>
      <c r="B51" s="265"/>
      <c r="C51" s="265"/>
      <c r="D51" s="265"/>
      <c r="E51" s="265"/>
      <c r="F51" s="265"/>
      <c r="G51" s="266"/>
      <c r="H51" s="285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268">
        <f t="shared" si="5"/>
        <v>0</v>
      </c>
      <c r="W51" s="238">
        <f t="shared" si="4"/>
        <v>0</v>
      </c>
      <c r="X51" s="36" t="s">
        <v>0</v>
      </c>
      <c r="Y51" s="292"/>
    </row>
    <row r="52" spans="1:25" x14ac:dyDescent="0.25">
      <c r="A52" s="52"/>
      <c r="B52" s="265"/>
      <c r="C52" s="265"/>
      <c r="D52" s="265"/>
      <c r="E52" s="265"/>
      <c r="F52" s="265"/>
      <c r="G52" s="266"/>
      <c r="H52" s="285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268">
        <f t="shared" si="5"/>
        <v>0</v>
      </c>
      <c r="W52" s="238">
        <f t="shared" si="4"/>
        <v>0</v>
      </c>
      <c r="X52" s="36" t="s">
        <v>19</v>
      </c>
      <c r="Y52" s="292"/>
    </row>
    <row r="53" spans="1:25" x14ac:dyDescent="0.25">
      <c r="A53" s="52"/>
      <c r="B53" s="265"/>
      <c r="C53" s="265"/>
      <c r="D53" s="265"/>
      <c r="E53" s="265"/>
      <c r="F53" s="265" t="s">
        <v>100</v>
      </c>
      <c r="G53" s="266"/>
      <c r="H53" s="285"/>
      <c r="I53" s="61">
        <v>6</v>
      </c>
      <c r="J53" s="61">
        <v>1</v>
      </c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268">
        <f t="shared" si="5"/>
        <v>1</v>
      </c>
      <c r="W53" s="238">
        <f t="shared" si="4"/>
        <v>1.4749262536873156E-3</v>
      </c>
      <c r="X53" s="36" t="s">
        <v>3</v>
      </c>
      <c r="Y53" s="292"/>
    </row>
    <row r="54" spans="1:25" x14ac:dyDescent="0.25">
      <c r="A54" s="303"/>
      <c r="B54" s="305"/>
      <c r="C54" s="305"/>
      <c r="D54" s="305"/>
      <c r="E54" s="305"/>
      <c r="F54" s="305"/>
      <c r="G54" s="304"/>
      <c r="H54" s="293"/>
      <c r="I54" s="61">
        <v>3</v>
      </c>
      <c r="J54" s="66"/>
      <c r="K54" s="66"/>
      <c r="L54" s="66"/>
      <c r="M54" s="61"/>
      <c r="N54" s="66"/>
      <c r="O54" s="66"/>
      <c r="P54" s="66"/>
      <c r="Q54" s="66"/>
      <c r="R54" s="66"/>
      <c r="S54" s="66"/>
      <c r="T54" s="66"/>
      <c r="U54" s="66"/>
      <c r="V54" s="268">
        <f t="shared" si="5"/>
        <v>0</v>
      </c>
      <c r="W54" s="238">
        <f t="shared" si="4"/>
        <v>0</v>
      </c>
      <c r="X54" s="36" t="s">
        <v>199</v>
      </c>
      <c r="Y54" s="292"/>
    </row>
    <row r="55" spans="1:25" x14ac:dyDescent="0.25">
      <c r="A55" s="303"/>
      <c r="B55" s="305"/>
      <c r="C55" s="305"/>
      <c r="D55" s="305"/>
      <c r="E55" s="305"/>
      <c r="F55" s="305"/>
      <c r="G55" s="304"/>
      <c r="H55" s="289"/>
      <c r="I55" s="61">
        <v>1</v>
      </c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268">
        <f t="shared" si="5"/>
        <v>0</v>
      </c>
      <c r="W55" s="238">
        <f t="shared" si="4"/>
        <v>0</v>
      </c>
      <c r="X55" s="196" t="s">
        <v>80</v>
      </c>
      <c r="Y55" s="292"/>
    </row>
    <row r="56" spans="1:25" x14ac:dyDescent="0.25">
      <c r="A56" s="52"/>
      <c r="B56" s="265"/>
      <c r="C56" s="265"/>
      <c r="D56" s="265"/>
      <c r="E56" s="265"/>
      <c r="F56" s="265"/>
      <c r="G56" s="56"/>
      <c r="H56" s="276"/>
      <c r="I56" s="276">
        <v>5</v>
      </c>
      <c r="J56" s="61"/>
      <c r="K56" s="61"/>
      <c r="L56" s="61"/>
      <c r="M56" s="276"/>
      <c r="N56" s="61"/>
      <c r="O56" s="61"/>
      <c r="P56" s="61"/>
      <c r="Q56" s="61"/>
      <c r="R56" s="61"/>
      <c r="S56" s="61"/>
      <c r="T56" s="61"/>
      <c r="U56" s="61"/>
      <c r="V56" s="268">
        <f t="shared" si="5"/>
        <v>0</v>
      </c>
      <c r="W56" s="238">
        <f t="shared" si="4"/>
        <v>0</v>
      </c>
      <c r="X56" s="196" t="s">
        <v>12</v>
      </c>
      <c r="Y56" s="294"/>
    </row>
    <row r="57" spans="1:25" x14ac:dyDescent="0.25">
      <c r="A57" s="52"/>
      <c r="B57" s="265"/>
      <c r="C57" s="265"/>
      <c r="D57" s="265"/>
      <c r="E57" s="265"/>
      <c r="F57" s="265"/>
      <c r="G57" s="56"/>
      <c r="H57" s="276"/>
      <c r="I57" s="61">
        <v>5</v>
      </c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268">
        <f t="shared" si="5"/>
        <v>0</v>
      </c>
      <c r="W57" s="238">
        <f t="shared" si="4"/>
        <v>0</v>
      </c>
      <c r="X57" s="36" t="s">
        <v>92</v>
      </c>
      <c r="Y57" s="147" t="s">
        <v>195</v>
      </c>
    </row>
    <row r="58" spans="1:25" x14ac:dyDescent="0.25">
      <c r="A58" s="52"/>
      <c r="B58" s="265"/>
      <c r="C58" s="265"/>
      <c r="D58" s="265"/>
      <c r="E58" s="265"/>
      <c r="F58" s="265"/>
      <c r="G58" s="266"/>
      <c r="H58" s="267"/>
      <c r="I58" s="61"/>
      <c r="J58" s="61">
        <v>1</v>
      </c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268">
        <f t="shared" si="5"/>
        <v>1</v>
      </c>
      <c r="W58" s="238">
        <f t="shared" si="4"/>
        <v>1.4749262536873156E-3</v>
      </c>
      <c r="X58" s="197" t="s">
        <v>27</v>
      </c>
      <c r="Y58" s="292"/>
    </row>
    <row r="59" spans="1:25" x14ac:dyDescent="0.25">
      <c r="A59" s="52"/>
      <c r="B59" s="265"/>
      <c r="C59" s="265"/>
      <c r="D59" s="265"/>
      <c r="E59" s="265"/>
      <c r="F59" s="265"/>
      <c r="G59" s="266"/>
      <c r="H59" s="267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>
        <v>1</v>
      </c>
      <c r="U59" s="61"/>
      <c r="V59" s="268">
        <f t="shared" si="5"/>
        <v>1</v>
      </c>
      <c r="W59" s="238">
        <f t="shared" si="4"/>
        <v>1.4749262536873156E-3</v>
      </c>
      <c r="X59" s="36" t="s">
        <v>94</v>
      </c>
      <c r="Y59" s="292"/>
    </row>
    <row r="60" spans="1:25" x14ac:dyDescent="0.25">
      <c r="A60" s="52"/>
      <c r="B60" s="265"/>
      <c r="C60" s="265"/>
      <c r="D60" s="265"/>
      <c r="E60" s="265"/>
      <c r="F60" s="265" t="s">
        <v>100</v>
      </c>
      <c r="G60" s="266"/>
      <c r="H60" s="273"/>
      <c r="I60" s="66"/>
      <c r="J60" s="66">
        <v>2</v>
      </c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268">
        <f t="shared" si="5"/>
        <v>2</v>
      </c>
      <c r="W60" s="238">
        <f t="shared" si="4"/>
        <v>2.9498525073746312E-3</v>
      </c>
      <c r="X60" s="36" t="s">
        <v>186</v>
      </c>
      <c r="Y60" s="291"/>
    </row>
    <row r="61" spans="1:25" ht="15.75" thickBot="1" x14ac:dyDescent="0.3">
      <c r="A61" s="52"/>
      <c r="B61" s="265"/>
      <c r="C61" s="265"/>
      <c r="D61" s="265"/>
      <c r="E61" s="265"/>
      <c r="F61" s="265"/>
      <c r="G61" s="266"/>
      <c r="H61" s="273"/>
      <c r="I61" s="66">
        <v>1</v>
      </c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>
        <v>2</v>
      </c>
      <c r="V61" s="268">
        <f>SUM(H61,J61,L61,N61,P61,R61,U61,T61)</f>
        <v>2</v>
      </c>
      <c r="W61" s="258">
        <f t="shared" si="4"/>
        <v>2.9498525073746312E-3</v>
      </c>
      <c r="X61" s="197" t="s">
        <v>9</v>
      </c>
      <c r="Y61" s="292"/>
    </row>
    <row r="62" spans="1:25" ht="15.75" thickBot="1" x14ac:dyDescent="0.3">
      <c r="A62" s="52"/>
      <c r="B62" s="265"/>
      <c r="C62" s="265"/>
      <c r="D62" s="265"/>
      <c r="E62" s="265"/>
      <c r="F62" s="265"/>
      <c r="G62" s="266"/>
      <c r="H62" s="295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296"/>
      <c r="W62" s="166"/>
      <c r="X62" s="74" t="s">
        <v>21</v>
      </c>
      <c r="Y62" s="292"/>
    </row>
    <row r="63" spans="1:25" x14ac:dyDescent="0.25">
      <c r="A63" s="52"/>
      <c r="B63" s="265"/>
      <c r="C63" s="265"/>
      <c r="D63" s="265"/>
      <c r="E63" s="265"/>
      <c r="F63" s="265"/>
      <c r="G63" s="266"/>
      <c r="H63" s="297"/>
      <c r="I63" s="62"/>
      <c r="J63" s="62"/>
      <c r="K63" s="62"/>
      <c r="L63" s="62"/>
      <c r="M63" s="62"/>
      <c r="N63" s="62"/>
      <c r="O63" s="62"/>
      <c r="P63" s="62"/>
      <c r="Q63" s="61"/>
      <c r="R63" s="62"/>
      <c r="S63" s="62"/>
      <c r="T63" s="62"/>
      <c r="U63" s="62"/>
      <c r="V63" s="268">
        <f t="shared" ref="V63:V76" si="6">SUM(H63,J63,L63,N63,P63,R63,U63)</f>
        <v>0</v>
      </c>
      <c r="W63" s="237">
        <f t="shared" si="4"/>
        <v>0</v>
      </c>
      <c r="X63" s="341" t="s">
        <v>71</v>
      </c>
      <c r="Y63" s="292"/>
    </row>
    <row r="64" spans="1:25" x14ac:dyDescent="0.25">
      <c r="A64" s="52"/>
      <c r="B64" s="265"/>
      <c r="C64" s="265"/>
      <c r="D64" s="265"/>
      <c r="E64" s="265"/>
      <c r="F64" s="265"/>
      <c r="G64" s="266"/>
      <c r="H64" s="267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268">
        <f t="shared" si="6"/>
        <v>0</v>
      </c>
      <c r="W64" s="238">
        <f t="shared" si="4"/>
        <v>0</v>
      </c>
      <c r="X64" s="101" t="s">
        <v>26</v>
      </c>
      <c r="Y64" s="146"/>
    </row>
    <row r="65" spans="1:25" x14ac:dyDescent="0.25">
      <c r="A65" s="52"/>
      <c r="B65" s="265"/>
      <c r="C65" s="265"/>
      <c r="D65" s="265"/>
      <c r="E65" s="265"/>
      <c r="F65" s="265"/>
      <c r="G65" s="266"/>
      <c r="H65" s="267">
        <v>4</v>
      </c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268">
        <f t="shared" si="6"/>
        <v>4</v>
      </c>
      <c r="W65" s="238">
        <f t="shared" si="4"/>
        <v>5.8997050147492625E-3</v>
      </c>
      <c r="X65" s="337" t="s">
        <v>172</v>
      </c>
      <c r="Y65" s="146"/>
    </row>
    <row r="66" spans="1:25" x14ac:dyDescent="0.25">
      <c r="A66" s="52"/>
      <c r="B66" s="265"/>
      <c r="C66" s="265"/>
      <c r="D66" s="265"/>
      <c r="E66" s="265"/>
      <c r="F66" s="265"/>
      <c r="G66" s="266"/>
      <c r="H66" s="267">
        <v>2</v>
      </c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268">
        <f t="shared" si="6"/>
        <v>2</v>
      </c>
      <c r="W66" s="238">
        <f t="shared" si="4"/>
        <v>2.9498525073746312E-3</v>
      </c>
      <c r="X66" s="338" t="s">
        <v>25</v>
      </c>
      <c r="Y66" s="291"/>
    </row>
    <row r="67" spans="1:25" x14ac:dyDescent="0.25">
      <c r="A67" s="52"/>
      <c r="B67" s="265"/>
      <c r="C67" s="265"/>
      <c r="D67" s="265"/>
      <c r="E67" s="265"/>
      <c r="F67" s="265" t="s">
        <v>100</v>
      </c>
      <c r="G67" s="266"/>
      <c r="H67" s="267">
        <v>1</v>
      </c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268">
        <f t="shared" si="6"/>
        <v>1</v>
      </c>
      <c r="W67" s="238">
        <f t="shared" si="4"/>
        <v>1.4749262536873156E-3</v>
      </c>
      <c r="X67" s="337" t="s">
        <v>51</v>
      </c>
      <c r="Y67" s="146"/>
    </row>
    <row r="68" spans="1:25" x14ac:dyDescent="0.25">
      <c r="A68" s="52"/>
      <c r="B68" s="265"/>
      <c r="C68" s="265"/>
      <c r="D68" s="265"/>
      <c r="E68" s="265"/>
      <c r="F68" s="265"/>
      <c r="G68" s="266"/>
      <c r="H68" s="267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268">
        <f t="shared" si="6"/>
        <v>0</v>
      </c>
      <c r="W68" s="238">
        <f t="shared" si="4"/>
        <v>0</v>
      </c>
      <c r="X68" s="196" t="s">
        <v>12</v>
      </c>
      <c r="Y68" s="291"/>
    </row>
    <row r="69" spans="1:25" x14ac:dyDescent="0.25">
      <c r="A69" s="52"/>
      <c r="B69" s="265"/>
      <c r="C69" s="265"/>
      <c r="D69" s="265"/>
      <c r="E69" s="265"/>
      <c r="F69" s="265"/>
      <c r="G69" s="266"/>
      <c r="H69" s="267">
        <v>2</v>
      </c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268">
        <f t="shared" si="6"/>
        <v>2</v>
      </c>
      <c r="W69" s="238">
        <f t="shared" si="4"/>
        <v>2.9498525073746312E-3</v>
      </c>
      <c r="X69" s="336" t="s">
        <v>161</v>
      </c>
      <c r="Y69" s="291"/>
    </row>
    <row r="70" spans="1:25" x14ac:dyDescent="0.25">
      <c r="A70" s="52"/>
      <c r="B70" s="265"/>
      <c r="C70" s="265"/>
      <c r="D70" s="265"/>
      <c r="E70" s="265"/>
      <c r="F70" s="265"/>
      <c r="G70" s="266"/>
      <c r="H70" s="267">
        <v>1</v>
      </c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268">
        <f t="shared" si="6"/>
        <v>1</v>
      </c>
      <c r="W70" s="238">
        <f t="shared" si="4"/>
        <v>1.4749262536873156E-3</v>
      </c>
      <c r="X70" s="338" t="s">
        <v>169</v>
      </c>
      <c r="Y70" s="291"/>
    </row>
    <row r="71" spans="1:25" x14ac:dyDescent="0.25">
      <c r="A71" s="52"/>
      <c r="B71" s="265"/>
      <c r="C71" s="265"/>
      <c r="D71" s="265"/>
      <c r="E71" s="265"/>
      <c r="F71" s="265"/>
      <c r="G71" s="266"/>
      <c r="H71" s="267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268">
        <f t="shared" si="6"/>
        <v>0</v>
      </c>
      <c r="W71" s="238">
        <f t="shared" si="4"/>
        <v>0</v>
      </c>
      <c r="X71" s="338" t="s">
        <v>197</v>
      </c>
      <c r="Y71" s="291"/>
    </row>
    <row r="72" spans="1:25" x14ac:dyDescent="0.25">
      <c r="A72" s="52"/>
      <c r="B72" s="265"/>
      <c r="C72" s="265"/>
      <c r="D72" s="265"/>
      <c r="E72" s="265"/>
      <c r="F72" s="265"/>
      <c r="G72" s="266"/>
      <c r="H72" s="267">
        <v>2</v>
      </c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268">
        <f t="shared" si="6"/>
        <v>2</v>
      </c>
      <c r="W72" s="238">
        <f t="shared" si="4"/>
        <v>2.9498525073746312E-3</v>
      </c>
      <c r="X72" s="338" t="s">
        <v>101</v>
      </c>
      <c r="Y72" s="291"/>
    </row>
    <row r="73" spans="1:25" x14ac:dyDescent="0.25">
      <c r="A73" s="52"/>
      <c r="B73" s="265"/>
      <c r="C73" s="265"/>
      <c r="D73" s="265"/>
      <c r="E73" s="265"/>
      <c r="F73" s="265"/>
      <c r="G73" s="266"/>
      <c r="H73" s="267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268">
        <f t="shared" si="6"/>
        <v>0</v>
      </c>
      <c r="W73" s="238">
        <f t="shared" si="4"/>
        <v>0</v>
      </c>
      <c r="X73" s="196" t="s">
        <v>35</v>
      </c>
      <c r="Y73" s="291"/>
    </row>
    <row r="74" spans="1:25" x14ac:dyDescent="0.25">
      <c r="A74" s="52"/>
      <c r="B74" s="265"/>
      <c r="C74" s="265"/>
      <c r="D74" s="265"/>
      <c r="E74" s="265"/>
      <c r="F74" s="265"/>
      <c r="G74" s="266"/>
      <c r="H74" s="267">
        <v>2</v>
      </c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268">
        <f t="shared" si="6"/>
        <v>2</v>
      </c>
      <c r="W74" s="238">
        <f t="shared" si="4"/>
        <v>2.9498525073746312E-3</v>
      </c>
      <c r="X74" s="196" t="s">
        <v>203</v>
      </c>
      <c r="Y74" s="291"/>
    </row>
    <row r="75" spans="1:25" ht="15.75" thickBot="1" x14ac:dyDescent="0.3">
      <c r="A75" s="155"/>
      <c r="B75" s="156"/>
      <c r="C75" s="156"/>
      <c r="D75" s="156"/>
      <c r="E75" s="156"/>
      <c r="F75" s="156"/>
      <c r="G75" s="266"/>
      <c r="H75" s="267">
        <v>2</v>
      </c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268">
        <f t="shared" si="6"/>
        <v>2</v>
      </c>
      <c r="W75" s="236">
        <f t="shared" si="4"/>
        <v>2.9498525073746312E-3</v>
      </c>
      <c r="X75" s="38" t="s">
        <v>85</v>
      </c>
      <c r="Y75" s="298"/>
    </row>
    <row r="76" spans="1:25" ht="15.75" thickBot="1" x14ac:dyDescent="0.3">
      <c r="A76" s="41"/>
      <c r="B76" s="41"/>
      <c r="C76" s="41"/>
      <c r="D76" s="41"/>
      <c r="E76" s="41"/>
      <c r="F76" s="41"/>
      <c r="G76" s="47" t="s">
        <v>4</v>
      </c>
      <c r="H76" s="57">
        <f>SUM(H42:H75)</f>
        <v>102</v>
      </c>
      <c r="I76" s="57">
        <f>SUM(I42:I75)</f>
        <v>36</v>
      </c>
      <c r="J76" s="57">
        <f t="shared" ref="J76:U76" si="7">SUM(J42:J75)</f>
        <v>15</v>
      </c>
      <c r="K76" s="57">
        <f t="shared" si="7"/>
        <v>0</v>
      </c>
      <c r="L76" s="57">
        <f t="shared" si="7"/>
        <v>0</v>
      </c>
      <c r="M76" s="57">
        <f t="shared" si="7"/>
        <v>0</v>
      </c>
      <c r="N76" s="57">
        <f t="shared" si="7"/>
        <v>0</v>
      </c>
      <c r="O76" s="57">
        <f t="shared" si="7"/>
        <v>0</v>
      </c>
      <c r="P76" s="57">
        <f t="shared" si="7"/>
        <v>0</v>
      </c>
      <c r="Q76" s="57">
        <f t="shared" si="7"/>
        <v>0</v>
      </c>
      <c r="R76" s="57">
        <f t="shared" si="7"/>
        <v>0</v>
      </c>
      <c r="S76" s="57">
        <f t="shared" si="7"/>
        <v>0</v>
      </c>
      <c r="T76" s="57">
        <f t="shared" si="7"/>
        <v>1</v>
      </c>
      <c r="U76" s="57">
        <f t="shared" si="7"/>
        <v>4</v>
      </c>
      <c r="V76" s="288">
        <f t="shared" si="6"/>
        <v>121</v>
      </c>
      <c r="W76" s="328">
        <f t="shared" si="4"/>
        <v>0.17846607669616518</v>
      </c>
    </row>
    <row r="78" spans="1:25" ht="15.75" thickBot="1" x14ac:dyDescent="0.3"/>
    <row r="79" spans="1:25" ht="60.75" thickBot="1" x14ac:dyDescent="0.3">
      <c r="A79" s="43" t="s">
        <v>22</v>
      </c>
      <c r="B79" s="43" t="s">
        <v>47</v>
      </c>
      <c r="C79" s="43" t="s">
        <v>52</v>
      </c>
      <c r="D79" s="43" t="s">
        <v>17</v>
      </c>
      <c r="E79" s="42" t="s">
        <v>16</v>
      </c>
      <c r="F79" s="44" t="s">
        <v>1</v>
      </c>
      <c r="G79" s="45" t="s">
        <v>23</v>
      </c>
      <c r="H79" s="76" t="s">
        <v>66</v>
      </c>
      <c r="I79" s="46" t="s">
        <v>67</v>
      </c>
      <c r="J79" s="46" t="s">
        <v>53</v>
      </c>
      <c r="K79" s="46" t="s">
        <v>58</v>
      </c>
      <c r="L79" s="46" t="s">
        <v>54</v>
      </c>
      <c r="M79" s="46" t="s">
        <v>59</v>
      </c>
      <c r="N79" s="46" t="s">
        <v>55</v>
      </c>
      <c r="O79" s="46" t="s">
        <v>60</v>
      </c>
      <c r="P79" s="46" t="s">
        <v>56</v>
      </c>
      <c r="Q79" s="46" t="s">
        <v>63</v>
      </c>
      <c r="R79" s="46" t="s">
        <v>57</v>
      </c>
      <c r="S79" s="46" t="s">
        <v>64</v>
      </c>
      <c r="T79" s="46" t="s">
        <v>115</v>
      </c>
      <c r="U79" s="46" t="s">
        <v>41</v>
      </c>
      <c r="V79" s="46" t="s">
        <v>4</v>
      </c>
      <c r="W79" s="42" t="s">
        <v>2</v>
      </c>
      <c r="X79" s="33" t="s">
        <v>20</v>
      </c>
      <c r="Y79" s="32" t="s">
        <v>6</v>
      </c>
    </row>
    <row r="80" spans="1:25" ht="15.75" thickBot="1" x14ac:dyDescent="0.3">
      <c r="A80" s="73">
        <v>1513193</v>
      </c>
      <c r="B80" s="73" t="s">
        <v>179</v>
      </c>
      <c r="C80" s="317">
        <v>576</v>
      </c>
      <c r="D80" s="317">
        <v>609</v>
      </c>
      <c r="E80" s="317">
        <v>559</v>
      </c>
      <c r="F80" s="318">
        <f>E80/D80</f>
        <v>0.91789819376026272</v>
      </c>
      <c r="G80" s="48">
        <v>45303</v>
      </c>
      <c r="H80" s="82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4"/>
      <c r="T80" s="296"/>
      <c r="U80" s="115"/>
      <c r="V80" s="115"/>
      <c r="W80" s="84"/>
      <c r="X80" s="86" t="s">
        <v>75</v>
      </c>
      <c r="Y80" s="353" t="s">
        <v>70</v>
      </c>
    </row>
    <row r="81" spans="1:25" x14ac:dyDescent="0.25">
      <c r="A81" s="52"/>
      <c r="B81" s="265"/>
      <c r="C81" s="265"/>
      <c r="D81" s="265"/>
      <c r="E81" s="265"/>
      <c r="F81" s="265"/>
      <c r="G81" s="266"/>
      <c r="H81" s="262"/>
      <c r="I81" s="59">
        <v>15</v>
      </c>
      <c r="J81" s="59"/>
      <c r="K81" s="59">
        <v>1</v>
      </c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286">
        <f>SUM(H81,J81,L81,N81,P81,R81,U81,T81)</f>
        <v>0</v>
      </c>
      <c r="W81" s="237">
        <f>$V81/$D$80</f>
        <v>0</v>
      </c>
      <c r="X81" s="35" t="s">
        <v>18</v>
      </c>
      <c r="Y81" s="260"/>
    </row>
    <row r="82" spans="1:25" x14ac:dyDescent="0.25">
      <c r="A82" s="52"/>
      <c r="B82" s="265"/>
      <c r="C82" s="265"/>
      <c r="D82" s="265"/>
      <c r="E82" s="265"/>
      <c r="F82" s="265"/>
      <c r="G82" s="266"/>
      <c r="H82" s="267">
        <v>5</v>
      </c>
      <c r="I82" s="61"/>
      <c r="J82" s="61"/>
      <c r="K82" s="61"/>
      <c r="L82" s="61">
        <v>1</v>
      </c>
      <c r="M82" s="61"/>
      <c r="N82" s="66"/>
      <c r="O82" s="61"/>
      <c r="P82" s="61"/>
      <c r="Q82" s="61"/>
      <c r="R82" s="61"/>
      <c r="S82" s="61"/>
      <c r="T82" s="61"/>
      <c r="U82" s="61"/>
      <c r="V82" s="268">
        <f>SUM(H82,J82,L82,N82,P82,R82,U82,T82)</f>
        <v>6</v>
      </c>
      <c r="W82" s="238">
        <f t="shared" ref="W82:W115" si="8">$V82/$D$80</f>
        <v>9.852216748768473E-3</v>
      </c>
      <c r="X82" s="196" t="s">
        <v>48</v>
      </c>
      <c r="Y82" s="260"/>
    </row>
    <row r="83" spans="1:25" x14ac:dyDescent="0.25">
      <c r="A83" s="52"/>
      <c r="B83" s="265"/>
      <c r="C83" s="265"/>
      <c r="D83" s="265"/>
      <c r="E83" s="265"/>
      <c r="F83" s="265"/>
      <c r="G83" s="266"/>
      <c r="H83" s="267">
        <v>13</v>
      </c>
      <c r="I83" s="61"/>
      <c r="J83" s="61"/>
      <c r="K83" s="61"/>
      <c r="L83" s="61">
        <v>3</v>
      </c>
      <c r="M83" s="61"/>
      <c r="N83" s="61"/>
      <c r="O83" s="61"/>
      <c r="P83" s="61"/>
      <c r="Q83" s="61"/>
      <c r="R83" s="61"/>
      <c r="S83" s="61"/>
      <c r="T83" s="61"/>
      <c r="U83" s="61"/>
      <c r="V83" s="268">
        <f t="shared" ref="V83:V99" si="9">SUM(H83,J83,L83,N83,P83,R83,U83,T83)</f>
        <v>16</v>
      </c>
      <c r="W83" s="238">
        <f t="shared" si="8"/>
        <v>2.6272577996715927E-2</v>
      </c>
      <c r="X83" s="36" t="s">
        <v>15</v>
      </c>
      <c r="Y83" s="282"/>
    </row>
    <row r="84" spans="1:25" x14ac:dyDescent="0.25">
      <c r="A84" s="52"/>
      <c r="B84" s="265"/>
      <c r="C84" s="265"/>
      <c r="D84" s="265"/>
      <c r="E84" s="265"/>
      <c r="F84" s="265"/>
      <c r="G84" s="266"/>
      <c r="H84" s="267"/>
      <c r="I84" s="61"/>
      <c r="J84" s="290"/>
      <c r="K84" s="290"/>
      <c r="L84" s="290"/>
      <c r="M84" s="61"/>
      <c r="N84" s="61"/>
      <c r="O84" s="61"/>
      <c r="P84" s="61"/>
      <c r="Q84" s="61"/>
      <c r="R84" s="61"/>
      <c r="S84" s="61"/>
      <c r="T84" s="61"/>
      <c r="U84" s="61"/>
      <c r="V84" s="268">
        <f t="shared" si="9"/>
        <v>0</v>
      </c>
      <c r="W84" s="238">
        <f t="shared" si="8"/>
        <v>0</v>
      </c>
      <c r="X84" s="338" t="s">
        <v>84</v>
      </c>
      <c r="Y84" s="282"/>
    </row>
    <row r="85" spans="1:25" x14ac:dyDescent="0.25">
      <c r="A85" s="52"/>
      <c r="B85" s="265"/>
      <c r="C85" s="265"/>
      <c r="D85" s="265"/>
      <c r="E85" s="265"/>
      <c r="F85" s="265"/>
      <c r="G85" s="266"/>
      <c r="H85" s="267"/>
      <c r="I85" s="61">
        <v>1</v>
      </c>
      <c r="J85" s="61"/>
      <c r="K85" s="61">
        <v>1</v>
      </c>
      <c r="L85" s="61">
        <v>1</v>
      </c>
      <c r="M85" s="61"/>
      <c r="N85" s="61"/>
      <c r="O85" s="61"/>
      <c r="P85" s="61"/>
      <c r="Q85" s="61"/>
      <c r="R85" s="61"/>
      <c r="S85" s="61"/>
      <c r="T85" s="61"/>
      <c r="U85" s="61">
        <v>1</v>
      </c>
      <c r="V85" s="268">
        <f t="shared" si="9"/>
        <v>2</v>
      </c>
      <c r="W85" s="238">
        <f t="shared" si="8"/>
        <v>3.2840722495894909E-3</v>
      </c>
      <c r="X85" s="36" t="s">
        <v>13</v>
      </c>
      <c r="Y85" s="146"/>
    </row>
    <row r="86" spans="1:25" x14ac:dyDescent="0.25">
      <c r="A86" s="52"/>
      <c r="B86" s="265"/>
      <c r="C86" s="265"/>
      <c r="D86" s="265"/>
      <c r="E86" s="265"/>
      <c r="F86" s="265"/>
      <c r="G86" s="266"/>
      <c r="H86" s="267"/>
      <c r="I86" s="61">
        <v>4</v>
      </c>
      <c r="J86" s="61"/>
      <c r="K86" s="61">
        <v>1</v>
      </c>
      <c r="L86" s="61">
        <v>7</v>
      </c>
      <c r="M86" s="61"/>
      <c r="N86" s="61"/>
      <c r="O86" s="61"/>
      <c r="P86" s="61"/>
      <c r="Q86" s="61"/>
      <c r="R86" s="61"/>
      <c r="S86" s="61"/>
      <c r="T86" s="61"/>
      <c r="U86" s="61">
        <v>1</v>
      </c>
      <c r="V86" s="268">
        <f t="shared" si="9"/>
        <v>8</v>
      </c>
      <c r="W86" s="238">
        <f t="shared" si="8"/>
        <v>1.3136288998357963E-2</v>
      </c>
      <c r="X86" s="36" t="s">
        <v>14</v>
      </c>
      <c r="Y86" s="264"/>
    </row>
    <row r="87" spans="1:25" x14ac:dyDescent="0.25">
      <c r="A87" s="52" t="s">
        <v>157</v>
      </c>
      <c r="B87" s="265"/>
      <c r="C87" s="265"/>
      <c r="D87" s="265"/>
      <c r="E87" s="265"/>
      <c r="F87" s="265"/>
      <c r="G87" s="266"/>
      <c r="H87" s="267"/>
      <c r="I87" s="61">
        <v>1</v>
      </c>
      <c r="J87" s="61"/>
      <c r="K87" s="61"/>
      <c r="L87" s="61">
        <v>1</v>
      </c>
      <c r="M87" s="61"/>
      <c r="N87" s="61"/>
      <c r="O87" s="61"/>
      <c r="P87" s="61"/>
      <c r="Q87" s="61"/>
      <c r="R87" s="61"/>
      <c r="S87" s="61"/>
      <c r="T87" s="61"/>
      <c r="U87" s="61"/>
      <c r="V87" s="268">
        <f t="shared" si="9"/>
        <v>1</v>
      </c>
      <c r="W87" s="238">
        <f t="shared" si="8"/>
        <v>1.6420361247947454E-3</v>
      </c>
      <c r="X87" s="36" t="s">
        <v>7</v>
      </c>
      <c r="Y87" s="264"/>
    </row>
    <row r="88" spans="1:25" x14ac:dyDescent="0.25">
      <c r="A88" s="52"/>
      <c r="B88" s="265"/>
      <c r="C88" s="265"/>
      <c r="D88" s="265"/>
      <c r="E88" s="265"/>
      <c r="F88" s="265"/>
      <c r="G88" s="266"/>
      <c r="H88" s="267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268">
        <f t="shared" si="9"/>
        <v>0</v>
      </c>
      <c r="W88" s="238">
        <f t="shared" si="8"/>
        <v>0</v>
      </c>
      <c r="X88" s="36" t="s">
        <v>8</v>
      </c>
      <c r="Y88" s="291"/>
    </row>
    <row r="89" spans="1:25" x14ac:dyDescent="0.25">
      <c r="A89" s="52"/>
      <c r="B89" s="265"/>
      <c r="C89" s="265"/>
      <c r="D89" s="265"/>
      <c r="E89" s="265"/>
      <c r="F89" s="265"/>
      <c r="G89" s="266"/>
      <c r="H89" s="285"/>
      <c r="I89" s="61">
        <v>1</v>
      </c>
      <c r="J89" s="61"/>
      <c r="K89" s="61">
        <v>1</v>
      </c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268">
        <f t="shared" si="9"/>
        <v>0</v>
      </c>
      <c r="W89" s="238">
        <f t="shared" si="8"/>
        <v>0</v>
      </c>
      <c r="X89" s="36" t="s">
        <v>68</v>
      </c>
      <c r="Y89" s="291"/>
    </row>
    <row r="90" spans="1:25" x14ac:dyDescent="0.25">
      <c r="A90" s="52"/>
      <c r="B90" s="265"/>
      <c r="C90" s="265"/>
      <c r="D90" s="265"/>
      <c r="E90" s="265"/>
      <c r="F90" s="265"/>
      <c r="G90" s="266"/>
      <c r="H90" s="285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268">
        <f t="shared" si="9"/>
        <v>0</v>
      </c>
      <c r="W90" s="238">
        <f t="shared" si="8"/>
        <v>0</v>
      </c>
      <c r="X90" s="36" t="s">
        <v>0</v>
      </c>
      <c r="Y90" s="292"/>
    </row>
    <row r="91" spans="1:25" x14ac:dyDescent="0.25">
      <c r="A91" s="52"/>
      <c r="B91" s="265"/>
      <c r="C91" s="265"/>
      <c r="D91" s="265"/>
      <c r="E91" s="265"/>
      <c r="F91" s="265"/>
      <c r="G91" s="266"/>
      <c r="H91" s="285"/>
      <c r="I91" s="61">
        <v>1</v>
      </c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268">
        <f t="shared" si="9"/>
        <v>0</v>
      </c>
      <c r="W91" s="238">
        <f t="shared" si="8"/>
        <v>0</v>
      </c>
      <c r="X91" s="36" t="s">
        <v>19</v>
      </c>
      <c r="Y91" s="292"/>
    </row>
    <row r="92" spans="1:25" x14ac:dyDescent="0.25">
      <c r="A92" s="52"/>
      <c r="B92" s="265"/>
      <c r="C92" s="265"/>
      <c r="D92" s="265"/>
      <c r="E92" s="265"/>
      <c r="F92" s="265" t="s">
        <v>100</v>
      </c>
      <c r="G92" s="266"/>
      <c r="H92" s="285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268">
        <f t="shared" si="9"/>
        <v>0</v>
      </c>
      <c r="W92" s="238">
        <f t="shared" si="8"/>
        <v>0</v>
      </c>
      <c r="X92" s="36" t="s">
        <v>3</v>
      </c>
      <c r="Y92" s="292"/>
    </row>
    <row r="93" spans="1:25" x14ac:dyDescent="0.25">
      <c r="A93" s="303"/>
      <c r="B93" s="305"/>
      <c r="C93" s="305"/>
      <c r="D93" s="305"/>
      <c r="E93" s="305"/>
      <c r="F93" s="305"/>
      <c r="G93" s="304"/>
      <c r="H93" s="293"/>
      <c r="I93" s="61">
        <v>2</v>
      </c>
      <c r="J93" s="66"/>
      <c r="K93" s="66">
        <v>2</v>
      </c>
      <c r="L93" s="66"/>
      <c r="M93" s="61"/>
      <c r="N93" s="66"/>
      <c r="O93" s="66"/>
      <c r="P93" s="66"/>
      <c r="Q93" s="66"/>
      <c r="R93" s="66"/>
      <c r="S93" s="66"/>
      <c r="T93" s="66"/>
      <c r="U93" s="66"/>
      <c r="V93" s="268">
        <f t="shared" si="9"/>
        <v>0</v>
      </c>
      <c r="W93" s="238">
        <f t="shared" si="8"/>
        <v>0</v>
      </c>
      <c r="X93" s="36" t="s">
        <v>199</v>
      </c>
      <c r="Y93" s="292"/>
    </row>
    <row r="94" spans="1:25" x14ac:dyDescent="0.25">
      <c r="A94" s="303"/>
      <c r="B94" s="305"/>
      <c r="C94" s="305"/>
      <c r="D94" s="305"/>
      <c r="E94" s="305"/>
      <c r="F94" s="305"/>
      <c r="G94" s="304"/>
      <c r="H94" s="289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268">
        <f t="shared" si="9"/>
        <v>0</v>
      </c>
      <c r="W94" s="238">
        <f t="shared" si="8"/>
        <v>0</v>
      </c>
      <c r="X94" s="196" t="s">
        <v>80</v>
      </c>
      <c r="Y94" s="292"/>
    </row>
    <row r="95" spans="1:25" x14ac:dyDescent="0.25">
      <c r="A95" s="52"/>
      <c r="B95" s="265"/>
      <c r="C95" s="265"/>
      <c r="D95" s="265"/>
      <c r="E95" s="265"/>
      <c r="F95" s="265"/>
      <c r="G95" s="56"/>
      <c r="H95" s="276"/>
      <c r="I95" s="276">
        <v>3</v>
      </c>
      <c r="J95" s="61"/>
      <c r="K95" s="61"/>
      <c r="L95" s="61"/>
      <c r="M95" s="276"/>
      <c r="N95" s="61"/>
      <c r="O95" s="61"/>
      <c r="P95" s="61"/>
      <c r="Q95" s="61"/>
      <c r="R95" s="61"/>
      <c r="S95" s="61"/>
      <c r="T95" s="61"/>
      <c r="U95" s="61"/>
      <c r="V95" s="268">
        <f t="shared" si="9"/>
        <v>0</v>
      </c>
      <c r="W95" s="238">
        <f t="shared" si="8"/>
        <v>0</v>
      </c>
      <c r="X95" s="196" t="s">
        <v>12</v>
      </c>
      <c r="Y95" s="294"/>
    </row>
    <row r="96" spans="1:25" x14ac:dyDescent="0.25">
      <c r="A96" s="52"/>
      <c r="B96" s="265"/>
      <c r="C96" s="265"/>
      <c r="D96" s="265"/>
      <c r="E96" s="265"/>
      <c r="F96" s="265"/>
      <c r="G96" s="56"/>
      <c r="H96" s="276"/>
      <c r="I96" s="61">
        <v>9</v>
      </c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268">
        <f t="shared" si="9"/>
        <v>0</v>
      </c>
      <c r="W96" s="238">
        <f t="shared" si="8"/>
        <v>0</v>
      </c>
      <c r="X96" s="36" t="s">
        <v>92</v>
      </c>
      <c r="Y96" s="147" t="s">
        <v>238</v>
      </c>
    </row>
    <row r="97" spans="1:25" x14ac:dyDescent="0.25">
      <c r="A97" s="52"/>
      <c r="B97" s="265"/>
      <c r="C97" s="265"/>
      <c r="D97" s="265"/>
      <c r="E97" s="265"/>
      <c r="F97" s="265"/>
      <c r="G97" s="266"/>
      <c r="H97" s="267"/>
      <c r="I97" s="61"/>
      <c r="J97" s="61"/>
      <c r="K97" s="61"/>
      <c r="L97" s="61">
        <v>1</v>
      </c>
      <c r="M97" s="61"/>
      <c r="N97" s="61"/>
      <c r="O97" s="61"/>
      <c r="P97" s="61"/>
      <c r="Q97" s="61"/>
      <c r="R97" s="61"/>
      <c r="S97" s="61"/>
      <c r="T97" s="61"/>
      <c r="U97" s="61"/>
      <c r="V97" s="268">
        <f t="shared" si="9"/>
        <v>1</v>
      </c>
      <c r="W97" s="238">
        <f t="shared" si="8"/>
        <v>1.6420361247947454E-3</v>
      </c>
      <c r="X97" s="197" t="s">
        <v>27</v>
      </c>
      <c r="Y97" s="292"/>
    </row>
    <row r="98" spans="1:25" x14ac:dyDescent="0.25">
      <c r="A98" s="52"/>
      <c r="B98" s="265"/>
      <c r="C98" s="265"/>
      <c r="D98" s="265"/>
      <c r="E98" s="265"/>
      <c r="F98" s="265"/>
      <c r="G98" s="266"/>
      <c r="H98" s="267"/>
      <c r="I98" s="61">
        <v>1</v>
      </c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>
        <v>1</v>
      </c>
      <c r="U98" s="61"/>
      <c r="V98" s="268">
        <f t="shared" si="9"/>
        <v>1</v>
      </c>
      <c r="W98" s="238">
        <f t="shared" si="8"/>
        <v>1.6420361247947454E-3</v>
      </c>
      <c r="X98" s="36" t="s">
        <v>94</v>
      </c>
      <c r="Y98" s="292"/>
    </row>
    <row r="99" spans="1:25" x14ac:dyDescent="0.25">
      <c r="A99" s="52"/>
      <c r="B99" s="265"/>
      <c r="C99" s="265"/>
      <c r="D99" s="265"/>
      <c r="E99" s="265"/>
      <c r="F99" s="265" t="s">
        <v>100</v>
      </c>
      <c r="G99" s="266"/>
      <c r="H99" s="273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268">
        <f t="shared" si="9"/>
        <v>0</v>
      </c>
      <c r="W99" s="238">
        <f t="shared" si="8"/>
        <v>0</v>
      </c>
      <c r="X99" s="36" t="s">
        <v>160</v>
      </c>
      <c r="Y99" s="291"/>
    </row>
    <row r="100" spans="1:25" ht="15.75" thickBot="1" x14ac:dyDescent="0.3">
      <c r="A100" s="52"/>
      <c r="B100" s="265"/>
      <c r="C100" s="265"/>
      <c r="D100" s="265"/>
      <c r="E100" s="265"/>
      <c r="F100" s="265"/>
      <c r="G100" s="266"/>
      <c r="H100" s="273"/>
      <c r="I100" s="66">
        <v>1</v>
      </c>
      <c r="J100" s="66"/>
      <c r="K100" s="66"/>
      <c r="L100" s="66" t="s">
        <v>100</v>
      </c>
      <c r="M100" s="66"/>
      <c r="N100" s="66"/>
      <c r="O100" s="66"/>
      <c r="P100" s="66"/>
      <c r="Q100" s="66"/>
      <c r="R100" s="66"/>
      <c r="S100" s="66"/>
      <c r="T100" s="66"/>
      <c r="U100" s="66"/>
      <c r="V100" s="268">
        <f>SUM(H100,J100,L100,N100,P100,R100,U100,T100)</f>
        <v>0</v>
      </c>
      <c r="W100" s="258">
        <f t="shared" si="8"/>
        <v>0</v>
      </c>
      <c r="X100" s="197" t="s">
        <v>9</v>
      </c>
      <c r="Y100" s="292"/>
    </row>
    <row r="101" spans="1:25" ht="15.75" thickBot="1" x14ac:dyDescent="0.3">
      <c r="A101" s="52"/>
      <c r="B101" s="265"/>
      <c r="C101" s="265"/>
      <c r="D101" s="265"/>
      <c r="E101" s="265"/>
      <c r="F101" s="265"/>
      <c r="G101" s="266"/>
      <c r="H101" s="295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296"/>
      <c r="W101" s="166"/>
      <c r="X101" s="74" t="s">
        <v>21</v>
      </c>
      <c r="Y101" s="292"/>
    </row>
    <row r="102" spans="1:25" x14ac:dyDescent="0.25">
      <c r="A102" s="52"/>
      <c r="B102" s="265"/>
      <c r="C102" s="265"/>
      <c r="D102" s="265"/>
      <c r="E102" s="265"/>
      <c r="F102" s="265"/>
      <c r="G102" s="266"/>
      <c r="H102" s="297"/>
      <c r="I102" s="62"/>
      <c r="J102" s="62"/>
      <c r="K102" s="62"/>
      <c r="L102" s="62"/>
      <c r="M102" s="62"/>
      <c r="N102" s="62"/>
      <c r="O102" s="62"/>
      <c r="P102" s="62"/>
      <c r="Q102" s="61"/>
      <c r="R102" s="62"/>
      <c r="S102" s="62"/>
      <c r="T102" s="62"/>
      <c r="U102" s="62"/>
      <c r="V102" s="268">
        <f t="shared" ref="V102:V115" si="10">SUM(H102,J102,L102,N102,P102,R102,U102)</f>
        <v>0</v>
      </c>
      <c r="W102" s="237">
        <f t="shared" si="8"/>
        <v>0</v>
      </c>
      <c r="X102" s="341" t="s">
        <v>71</v>
      </c>
      <c r="Y102" s="292"/>
    </row>
    <row r="103" spans="1:25" x14ac:dyDescent="0.25">
      <c r="A103" s="52"/>
      <c r="B103" s="265"/>
      <c r="C103" s="265"/>
      <c r="D103" s="265"/>
      <c r="E103" s="265"/>
      <c r="F103" s="265"/>
      <c r="G103" s="266"/>
      <c r="H103" s="267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268">
        <f t="shared" si="10"/>
        <v>0</v>
      </c>
      <c r="W103" s="238">
        <f t="shared" si="8"/>
        <v>0</v>
      </c>
      <c r="X103" s="101" t="s">
        <v>26</v>
      </c>
      <c r="Y103" s="146"/>
    </row>
    <row r="104" spans="1:25" x14ac:dyDescent="0.25">
      <c r="A104" s="52"/>
      <c r="B104" s="265"/>
      <c r="C104" s="265"/>
      <c r="D104" s="265"/>
      <c r="E104" s="265"/>
      <c r="F104" s="265"/>
      <c r="G104" s="266"/>
      <c r="H104" s="267">
        <v>6</v>
      </c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268">
        <f t="shared" si="10"/>
        <v>6</v>
      </c>
      <c r="W104" s="238">
        <f t="shared" si="8"/>
        <v>9.852216748768473E-3</v>
      </c>
      <c r="X104" s="337" t="s">
        <v>172</v>
      </c>
      <c r="Y104" s="146"/>
    </row>
    <row r="105" spans="1:25" x14ac:dyDescent="0.25">
      <c r="A105" s="52"/>
      <c r="B105" s="265"/>
      <c r="C105" s="265"/>
      <c r="D105" s="265"/>
      <c r="E105" s="265"/>
      <c r="F105" s="265"/>
      <c r="G105" s="266"/>
      <c r="H105" s="267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268">
        <f t="shared" si="10"/>
        <v>0</v>
      </c>
      <c r="W105" s="238">
        <f t="shared" si="8"/>
        <v>0</v>
      </c>
      <c r="X105" s="338" t="s">
        <v>25</v>
      </c>
      <c r="Y105" s="291"/>
    </row>
    <row r="106" spans="1:25" x14ac:dyDescent="0.25">
      <c r="A106" s="52"/>
      <c r="B106" s="265"/>
      <c r="C106" s="265"/>
      <c r="D106" s="265"/>
      <c r="E106" s="265"/>
      <c r="F106" s="265" t="s">
        <v>100</v>
      </c>
      <c r="G106" s="266"/>
      <c r="H106" s="267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268">
        <f t="shared" si="10"/>
        <v>0</v>
      </c>
      <c r="W106" s="238">
        <f t="shared" si="8"/>
        <v>0</v>
      </c>
      <c r="X106" s="337" t="s">
        <v>51</v>
      </c>
      <c r="Y106" s="146"/>
    </row>
    <row r="107" spans="1:25" x14ac:dyDescent="0.25">
      <c r="A107" s="52"/>
      <c r="B107" s="265"/>
      <c r="C107" s="265"/>
      <c r="D107" s="265"/>
      <c r="E107" s="265"/>
      <c r="F107" s="265"/>
      <c r="G107" s="266"/>
      <c r="H107" s="267">
        <v>1</v>
      </c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268">
        <f t="shared" si="10"/>
        <v>1</v>
      </c>
      <c r="W107" s="238">
        <f t="shared" si="8"/>
        <v>1.6420361247947454E-3</v>
      </c>
      <c r="X107" s="196" t="s">
        <v>12</v>
      </c>
      <c r="Y107" s="291"/>
    </row>
    <row r="108" spans="1:25" x14ac:dyDescent="0.25">
      <c r="A108" s="52"/>
      <c r="B108" s="265"/>
      <c r="C108" s="265"/>
      <c r="D108" s="265"/>
      <c r="E108" s="265"/>
      <c r="F108" s="265"/>
      <c r="G108" s="266"/>
      <c r="H108" s="267">
        <v>1</v>
      </c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268">
        <f t="shared" si="10"/>
        <v>1</v>
      </c>
      <c r="W108" s="238">
        <f t="shared" si="8"/>
        <v>1.6420361247947454E-3</v>
      </c>
      <c r="X108" s="336" t="s">
        <v>161</v>
      </c>
      <c r="Y108" s="291"/>
    </row>
    <row r="109" spans="1:25" x14ac:dyDescent="0.25">
      <c r="A109" s="52"/>
      <c r="B109" s="265"/>
      <c r="C109" s="265"/>
      <c r="D109" s="265"/>
      <c r="E109" s="265"/>
      <c r="F109" s="265"/>
      <c r="G109" s="266"/>
      <c r="H109" s="267">
        <v>4</v>
      </c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268">
        <f t="shared" si="10"/>
        <v>4</v>
      </c>
      <c r="W109" s="238">
        <f t="shared" si="8"/>
        <v>6.5681444991789817E-3</v>
      </c>
      <c r="X109" s="338" t="s">
        <v>169</v>
      </c>
      <c r="Y109" s="291"/>
    </row>
    <row r="110" spans="1:25" x14ac:dyDescent="0.25">
      <c r="A110" s="52"/>
      <c r="B110" s="265"/>
      <c r="C110" s="265"/>
      <c r="D110" s="265"/>
      <c r="E110" s="265"/>
      <c r="F110" s="265"/>
      <c r="G110" s="266"/>
      <c r="H110" s="267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268">
        <f t="shared" si="10"/>
        <v>0</v>
      </c>
      <c r="W110" s="238">
        <f t="shared" si="8"/>
        <v>0</v>
      </c>
      <c r="X110" s="338" t="s">
        <v>197</v>
      </c>
      <c r="Y110" s="291"/>
    </row>
    <row r="111" spans="1:25" x14ac:dyDescent="0.25">
      <c r="A111" s="52"/>
      <c r="B111" s="265"/>
      <c r="C111" s="265"/>
      <c r="D111" s="265"/>
      <c r="E111" s="265"/>
      <c r="F111" s="265"/>
      <c r="G111" s="266"/>
      <c r="H111" s="267">
        <v>3</v>
      </c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268">
        <f t="shared" si="10"/>
        <v>3</v>
      </c>
      <c r="W111" s="238">
        <f t="shared" si="8"/>
        <v>4.9261083743842365E-3</v>
      </c>
      <c r="X111" s="338" t="s">
        <v>101</v>
      </c>
      <c r="Y111" s="291" t="s">
        <v>240</v>
      </c>
    </row>
    <row r="112" spans="1:25" x14ac:dyDescent="0.25">
      <c r="A112" s="52"/>
      <c r="B112" s="265"/>
      <c r="C112" s="265"/>
      <c r="D112" s="265"/>
      <c r="E112" s="265"/>
      <c r="F112" s="265"/>
      <c r="G112" s="266"/>
      <c r="H112" s="267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268">
        <f t="shared" si="10"/>
        <v>0</v>
      </c>
      <c r="W112" s="238">
        <f t="shared" si="8"/>
        <v>0</v>
      </c>
      <c r="X112" s="196" t="s">
        <v>35</v>
      </c>
      <c r="Y112" s="291"/>
    </row>
    <row r="113" spans="1:25" x14ac:dyDescent="0.25">
      <c r="A113" s="52"/>
      <c r="B113" s="265"/>
      <c r="C113" s="265"/>
      <c r="D113" s="265"/>
      <c r="E113" s="265"/>
      <c r="F113" s="265"/>
      <c r="G113" s="266"/>
      <c r="H113" s="267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268">
        <f t="shared" si="10"/>
        <v>0</v>
      </c>
      <c r="W113" s="238">
        <f t="shared" si="8"/>
        <v>0</v>
      </c>
      <c r="X113" s="196" t="s">
        <v>203</v>
      </c>
      <c r="Y113" s="291"/>
    </row>
    <row r="114" spans="1:25" ht="15.75" thickBot="1" x14ac:dyDescent="0.3">
      <c r="A114" s="155"/>
      <c r="B114" s="156"/>
      <c r="C114" s="156"/>
      <c r="D114" s="156"/>
      <c r="E114" s="156"/>
      <c r="F114" s="156"/>
      <c r="G114" s="266"/>
      <c r="H114" s="267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268">
        <f t="shared" si="10"/>
        <v>0</v>
      </c>
      <c r="W114" s="236">
        <f t="shared" si="8"/>
        <v>0</v>
      </c>
      <c r="X114" s="38" t="s">
        <v>85</v>
      </c>
      <c r="Y114" s="298"/>
    </row>
    <row r="115" spans="1:25" ht="15.75" thickBot="1" x14ac:dyDescent="0.3">
      <c r="A115" s="41"/>
      <c r="B115" s="41"/>
      <c r="C115" s="41"/>
      <c r="D115" s="41"/>
      <c r="E115" s="41"/>
      <c r="F115" s="41"/>
      <c r="G115" s="47" t="s">
        <v>4</v>
      </c>
      <c r="H115" s="57">
        <f>SUM(H81:H114)</f>
        <v>33</v>
      </c>
      <c r="I115" s="57">
        <f>SUM(I81:I114)</f>
        <v>39</v>
      </c>
      <c r="J115" s="57">
        <f t="shared" ref="J115:U115" si="11">SUM(J81:J114)</f>
        <v>0</v>
      </c>
      <c r="K115" s="57">
        <f t="shared" si="11"/>
        <v>6</v>
      </c>
      <c r="L115" s="57">
        <f t="shared" si="11"/>
        <v>14</v>
      </c>
      <c r="M115" s="57">
        <f t="shared" si="11"/>
        <v>0</v>
      </c>
      <c r="N115" s="57">
        <f t="shared" si="11"/>
        <v>0</v>
      </c>
      <c r="O115" s="57">
        <f t="shared" si="11"/>
        <v>0</v>
      </c>
      <c r="P115" s="57">
        <f t="shared" si="11"/>
        <v>0</v>
      </c>
      <c r="Q115" s="57">
        <f t="shared" si="11"/>
        <v>0</v>
      </c>
      <c r="R115" s="57">
        <f t="shared" si="11"/>
        <v>0</v>
      </c>
      <c r="S115" s="57">
        <f t="shared" si="11"/>
        <v>0</v>
      </c>
      <c r="T115" s="57">
        <f t="shared" si="11"/>
        <v>1</v>
      </c>
      <c r="U115" s="57">
        <f t="shared" si="11"/>
        <v>2</v>
      </c>
      <c r="V115" s="288">
        <f t="shared" si="10"/>
        <v>49</v>
      </c>
      <c r="W115" s="328">
        <f t="shared" si="8"/>
        <v>8.0459770114942528E-2</v>
      </c>
    </row>
    <row r="117" spans="1:25" ht="15.75" thickBot="1" x14ac:dyDescent="0.3"/>
    <row r="118" spans="1:25" ht="60.75" thickBot="1" x14ac:dyDescent="0.3">
      <c r="A118" s="43" t="s">
        <v>22</v>
      </c>
      <c r="B118" s="43" t="s">
        <v>47</v>
      </c>
      <c r="C118" s="43" t="s">
        <v>52</v>
      </c>
      <c r="D118" s="43" t="s">
        <v>17</v>
      </c>
      <c r="E118" s="42" t="s">
        <v>16</v>
      </c>
      <c r="F118" s="44" t="s">
        <v>1</v>
      </c>
      <c r="G118" s="45" t="s">
        <v>23</v>
      </c>
      <c r="H118" s="76" t="s">
        <v>66</v>
      </c>
      <c r="I118" s="46" t="s">
        <v>67</v>
      </c>
      <c r="J118" s="46" t="s">
        <v>53</v>
      </c>
      <c r="K118" s="46" t="s">
        <v>58</v>
      </c>
      <c r="L118" s="46" t="s">
        <v>54</v>
      </c>
      <c r="M118" s="46" t="s">
        <v>59</v>
      </c>
      <c r="N118" s="46" t="s">
        <v>55</v>
      </c>
      <c r="O118" s="46" t="s">
        <v>60</v>
      </c>
      <c r="P118" s="46" t="s">
        <v>56</v>
      </c>
      <c r="Q118" s="46" t="s">
        <v>63</v>
      </c>
      <c r="R118" s="46" t="s">
        <v>57</v>
      </c>
      <c r="S118" s="46" t="s">
        <v>64</v>
      </c>
      <c r="T118" s="46" t="s">
        <v>115</v>
      </c>
      <c r="U118" s="46" t="s">
        <v>41</v>
      </c>
      <c r="V118" s="46" t="s">
        <v>4</v>
      </c>
      <c r="W118" s="42" t="s">
        <v>2</v>
      </c>
      <c r="X118" s="33" t="s">
        <v>20</v>
      </c>
      <c r="Y118" s="32" t="s">
        <v>6</v>
      </c>
    </row>
    <row r="119" spans="1:25" ht="15.75" thickBot="1" x14ac:dyDescent="0.3">
      <c r="A119" s="73">
        <v>1513315</v>
      </c>
      <c r="B119" s="73" t="s">
        <v>179</v>
      </c>
      <c r="C119" s="317">
        <v>576</v>
      </c>
      <c r="D119" s="317">
        <v>611</v>
      </c>
      <c r="E119" s="317">
        <v>568</v>
      </c>
      <c r="F119" s="318">
        <f>E119/D119</f>
        <v>0.9296235679214403</v>
      </c>
      <c r="G119" s="48">
        <v>45303</v>
      </c>
      <c r="H119" s="82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4"/>
      <c r="T119" s="296"/>
      <c r="U119" s="115"/>
      <c r="V119" s="115"/>
      <c r="W119" s="84"/>
      <c r="X119" s="86" t="s">
        <v>75</v>
      </c>
      <c r="Y119" s="353" t="s">
        <v>70</v>
      </c>
    </row>
    <row r="120" spans="1:25" x14ac:dyDescent="0.25">
      <c r="A120" s="52"/>
      <c r="B120" s="265"/>
      <c r="C120" s="265"/>
      <c r="D120" s="265"/>
      <c r="E120" s="265"/>
      <c r="F120" s="265"/>
      <c r="G120" s="266"/>
      <c r="H120" s="262"/>
      <c r="I120" s="59">
        <v>8</v>
      </c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286">
        <f>SUM(H120,J120,L120,N120,P120,R120,U120,T120)</f>
        <v>0</v>
      </c>
      <c r="W120" s="237">
        <f>$V120/$D$119</f>
        <v>0</v>
      </c>
      <c r="X120" s="35" t="s">
        <v>18</v>
      </c>
      <c r="Y120" s="260"/>
    </row>
    <row r="121" spans="1:25" x14ac:dyDescent="0.25">
      <c r="A121" s="52"/>
      <c r="B121" s="265"/>
      <c r="C121" s="265"/>
      <c r="D121" s="265"/>
      <c r="E121" s="265"/>
      <c r="F121" s="265"/>
      <c r="G121" s="266"/>
      <c r="H121" s="267">
        <v>3</v>
      </c>
      <c r="I121" s="61"/>
      <c r="J121" s="61">
        <v>1</v>
      </c>
      <c r="K121" s="61"/>
      <c r="L121" s="61"/>
      <c r="M121" s="61"/>
      <c r="N121" s="66"/>
      <c r="O121" s="61"/>
      <c r="P121" s="61"/>
      <c r="Q121" s="61"/>
      <c r="R121" s="61"/>
      <c r="S121" s="61"/>
      <c r="T121" s="61"/>
      <c r="U121" s="61"/>
      <c r="V121" s="268">
        <f>SUM(H121,J121,L121,N121,P121,R121,U121,T121)</f>
        <v>4</v>
      </c>
      <c r="W121" s="238">
        <f t="shared" ref="W121:W154" si="12">$V121/$D$119</f>
        <v>6.5466448445171853E-3</v>
      </c>
      <c r="X121" s="196" t="s">
        <v>48</v>
      </c>
      <c r="Y121" s="260"/>
    </row>
    <row r="122" spans="1:25" x14ac:dyDescent="0.25">
      <c r="A122" s="52"/>
      <c r="B122" s="265"/>
      <c r="C122" s="265"/>
      <c r="D122" s="265"/>
      <c r="E122" s="265"/>
      <c r="F122" s="265"/>
      <c r="G122" s="266"/>
      <c r="H122" s="267">
        <v>27</v>
      </c>
      <c r="I122" s="61"/>
      <c r="J122" s="61">
        <v>2</v>
      </c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268">
        <f t="shared" ref="V122:V138" si="13">SUM(H122,J122,L122,N122,P122,R122,U122,T122)</f>
        <v>29</v>
      </c>
      <c r="W122" s="238">
        <f t="shared" si="12"/>
        <v>4.7463175122749592E-2</v>
      </c>
      <c r="X122" s="36" t="s">
        <v>15</v>
      </c>
      <c r="Y122" s="282"/>
    </row>
    <row r="123" spans="1:25" x14ac:dyDescent="0.25">
      <c r="A123" s="52"/>
      <c r="B123" s="265"/>
      <c r="C123" s="265"/>
      <c r="D123" s="265"/>
      <c r="E123" s="265"/>
      <c r="F123" s="265"/>
      <c r="G123" s="266"/>
      <c r="H123" s="267"/>
      <c r="I123" s="61"/>
      <c r="J123" s="290"/>
      <c r="K123" s="290"/>
      <c r="L123" s="290"/>
      <c r="M123" s="61"/>
      <c r="N123" s="61"/>
      <c r="O123" s="61"/>
      <c r="P123" s="61"/>
      <c r="Q123" s="61"/>
      <c r="R123" s="61"/>
      <c r="S123" s="61"/>
      <c r="T123" s="61"/>
      <c r="U123" s="61"/>
      <c r="V123" s="268">
        <f t="shared" si="13"/>
        <v>0</v>
      </c>
      <c r="W123" s="238">
        <f t="shared" si="12"/>
        <v>0</v>
      </c>
      <c r="X123" s="338" t="s">
        <v>84</v>
      </c>
      <c r="Y123" s="282"/>
    </row>
    <row r="124" spans="1:25" x14ac:dyDescent="0.25">
      <c r="A124" s="52"/>
      <c r="B124" s="265"/>
      <c r="C124" s="265"/>
      <c r="D124" s="265"/>
      <c r="E124" s="265"/>
      <c r="F124" s="265"/>
      <c r="G124" s="266"/>
      <c r="H124" s="267"/>
      <c r="I124" s="61">
        <v>2</v>
      </c>
      <c r="J124" s="61">
        <v>1</v>
      </c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>
        <v>1</v>
      </c>
      <c r="V124" s="268">
        <f t="shared" si="13"/>
        <v>2</v>
      </c>
      <c r="W124" s="238">
        <f t="shared" si="12"/>
        <v>3.2733224222585926E-3</v>
      </c>
      <c r="X124" s="36" t="s">
        <v>13</v>
      </c>
      <c r="Y124" s="146"/>
    </row>
    <row r="125" spans="1:25" x14ac:dyDescent="0.25">
      <c r="A125" s="52"/>
      <c r="B125" s="265"/>
      <c r="C125" s="265"/>
      <c r="D125" s="265"/>
      <c r="E125" s="265"/>
      <c r="F125" s="265"/>
      <c r="G125" s="266"/>
      <c r="H125" s="267"/>
      <c r="I125" s="61">
        <v>4</v>
      </c>
      <c r="J125" s="61">
        <v>1</v>
      </c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>
        <v>1</v>
      </c>
      <c r="V125" s="268">
        <f t="shared" si="13"/>
        <v>2</v>
      </c>
      <c r="W125" s="238">
        <f t="shared" si="12"/>
        <v>3.2733224222585926E-3</v>
      </c>
      <c r="X125" s="36" t="s">
        <v>14</v>
      </c>
      <c r="Y125" s="264"/>
    </row>
    <row r="126" spans="1:25" x14ac:dyDescent="0.25">
      <c r="A126" s="52" t="s">
        <v>157</v>
      </c>
      <c r="B126" s="265"/>
      <c r="C126" s="265"/>
      <c r="D126" s="265"/>
      <c r="E126" s="265"/>
      <c r="F126" s="265"/>
      <c r="G126" s="266"/>
      <c r="H126" s="267"/>
      <c r="I126" s="61">
        <v>5</v>
      </c>
      <c r="J126" s="61">
        <v>1</v>
      </c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268">
        <f t="shared" si="13"/>
        <v>1</v>
      </c>
      <c r="W126" s="238">
        <f t="shared" si="12"/>
        <v>1.6366612111292963E-3</v>
      </c>
      <c r="X126" s="36" t="s">
        <v>7</v>
      </c>
      <c r="Y126" s="264"/>
    </row>
    <row r="127" spans="1:25" x14ac:dyDescent="0.25">
      <c r="A127" s="52"/>
      <c r="B127" s="265"/>
      <c r="C127" s="265"/>
      <c r="D127" s="265"/>
      <c r="E127" s="265"/>
      <c r="F127" s="265"/>
      <c r="G127" s="266"/>
      <c r="H127" s="267"/>
      <c r="I127" s="61">
        <v>1</v>
      </c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268">
        <f t="shared" si="13"/>
        <v>0</v>
      </c>
      <c r="W127" s="238">
        <f t="shared" si="12"/>
        <v>0</v>
      </c>
      <c r="X127" s="36" t="s">
        <v>8</v>
      </c>
      <c r="Y127" s="291"/>
    </row>
    <row r="128" spans="1:25" x14ac:dyDescent="0.25">
      <c r="A128" s="52"/>
      <c r="B128" s="265"/>
      <c r="C128" s="265"/>
      <c r="D128" s="265"/>
      <c r="E128" s="265"/>
      <c r="F128" s="265"/>
      <c r="G128" s="266"/>
      <c r="H128" s="285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268">
        <f t="shared" si="13"/>
        <v>0</v>
      </c>
      <c r="W128" s="238">
        <f t="shared" si="12"/>
        <v>0</v>
      </c>
      <c r="X128" s="36" t="s">
        <v>68</v>
      </c>
      <c r="Y128" s="291"/>
    </row>
    <row r="129" spans="1:25" x14ac:dyDescent="0.25">
      <c r="A129" s="52"/>
      <c r="B129" s="265"/>
      <c r="C129" s="265"/>
      <c r="D129" s="265"/>
      <c r="E129" s="265"/>
      <c r="F129" s="265"/>
      <c r="G129" s="266"/>
      <c r="H129" s="285"/>
      <c r="I129" s="61"/>
      <c r="J129" s="61" t="s">
        <v>100</v>
      </c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268">
        <f t="shared" si="13"/>
        <v>0</v>
      </c>
      <c r="W129" s="238">
        <f t="shared" si="12"/>
        <v>0</v>
      </c>
      <c r="X129" s="36" t="s">
        <v>0</v>
      </c>
      <c r="Y129" s="292"/>
    </row>
    <row r="130" spans="1:25" x14ac:dyDescent="0.25">
      <c r="A130" s="52"/>
      <c r="B130" s="265"/>
      <c r="C130" s="265"/>
      <c r="D130" s="265"/>
      <c r="E130" s="265"/>
      <c r="F130" s="265"/>
      <c r="G130" s="266"/>
      <c r="H130" s="285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268">
        <f t="shared" si="13"/>
        <v>0</v>
      </c>
      <c r="W130" s="238">
        <f t="shared" si="12"/>
        <v>0</v>
      </c>
      <c r="X130" s="36" t="s">
        <v>19</v>
      </c>
      <c r="Y130" s="292"/>
    </row>
    <row r="131" spans="1:25" x14ac:dyDescent="0.25">
      <c r="A131" s="52"/>
      <c r="B131" s="265"/>
      <c r="C131" s="265"/>
      <c r="D131" s="265"/>
      <c r="E131" s="265"/>
      <c r="F131" s="265" t="s">
        <v>100</v>
      </c>
      <c r="G131" s="266"/>
      <c r="H131" s="285"/>
      <c r="I131" s="61">
        <v>2</v>
      </c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268">
        <f t="shared" si="13"/>
        <v>0</v>
      </c>
      <c r="W131" s="238">
        <f t="shared" si="12"/>
        <v>0</v>
      </c>
      <c r="X131" s="36" t="s">
        <v>3</v>
      </c>
      <c r="Y131" s="292"/>
    </row>
    <row r="132" spans="1:25" x14ac:dyDescent="0.25">
      <c r="A132" s="303"/>
      <c r="B132" s="305"/>
      <c r="C132" s="305"/>
      <c r="D132" s="305"/>
      <c r="E132" s="305"/>
      <c r="F132" s="305"/>
      <c r="G132" s="304"/>
      <c r="H132" s="293"/>
      <c r="I132" s="61">
        <v>5</v>
      </c>
      <c r="J132" s="66"/>
      <c r="K132" s="66"/>
      <c r="L132" s="66"/>
      <c r="M132" s="61"/>
      <c r="N132" s="66"/>
      <c r="O132" s="66"/>
      <c r="P132" s="66"/>
      <c r="Q132" s="66"/>
      <c r="R132" s="66"/>
      <c r="S132" s="66"/>
      <c r="T132" s="66"/>
      <c r="U132" s="66"/>
      <c r="V132" s="268">
        <f t="shared" si="13"/>
        <v>0</v>
      </c>
      <c r="W132" s="238">
        <f t="shared" si="12"/>
        <v>0</v>
      </c>
      <c r="X132" s="36" t="s">
        <v>199</v>
      </c>
      <c r="Y132" s="292"/>
    </row>
    <row r="133" spans="1:25" x14ac:dyDescent="0.25">
      <c r="A133" s="303"/>
      <c r="B133" s="305"/>
      <c r="C133" s="305"/>
      <c r="D133" s="305"/>
      <c r="E133" s="305"/>
      <c r="F133" s="305"/>
      <c r="G133" s="304"/>
      <c r="H133" s="289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268">
        <f t="shared" si="13"/>
        <v>0</v>
      </c>
      <c r="W133" s="238">
        <f t="shared" si="12"/>
        <v>0</v>
      </c>
      <c r="X133" s="196" t="s">
        <v>80</v>
      </c>
      <c r="Y133" s="292"/>
    </row>
    <row r="134" spans="1:25" x14ac:dyDescent="0.25">
      <c r="A134" s="52"/>
      <c r="B134" s="265"/>
      <c r="C134" s="265"/>
      <c r="D134" s="265"/>
      <c r="E134" s="265"/>
      <c r="F134" s="265"/>
      <c r="G134" s="56"/>
      <c r="H134" s="276"/>
      <c r="I134" s="276">
        <v>5</v>
      </c>
      <c r="J134" s="61"/>
      <c r="K134" s="61"/>
      <c r="L134" s="61"/>
      <c r="M134" s="276"/>
      <c r="N134" s="61"/>
      <c r="O134" s="61"/>
      <c r="P134" s="61"/>
      <c r="Q134" s="61"/>
      <c r="R134" s="61"/>
      <c r="S134" s="61"/>
      <c r="T134" s="61"/>
      <c r="U134" s="61"/>
      <c r="V134" s="268">
        <f t="shared" si="13"/>
        <v>0</v>
      </c>
      <c r="W134" s="238">
        <f t="shared" si="12"/>
        <v>0</v>
      </c>
      <c r="X134" s="196" t="s">
        <v>12</v>
      </c>
      <c r="Y134" s="294"/>
    </row>
    <row r="135" spans="1:25" x14ac:dyDescent="0.25">
      <c r="A135" s="52"/>
      <c r="B135" s="265"/>
      <c r="C135" s="265"/>
      <c r="D135" s="265"/>
      <c r="E135" s="265"/>
      <c r="F135" s="265"/>
      <c r="G135" s="56"/>
      <c r="H135" s="276"/>
      <c r="I135" s="61">
        <v>10</v>
      </c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268">
        <f t="shared" si="13"/>
        <v>0</v>
      </c>
      <c r="W135" s="238">
        <f t="shared" si="12"/>
        <v>0</v>
      </c>
      <c r="X135" s="36" t="s">
        <v>92</v>
      </c>
      <c r="Y135" s="147" t="s">
        <v>239</v>
      </c>
    </row>
    <row r="136" spans="1:25" x14ac:dyDescent="0.25">
      <c r="A136" s="52"/>
      <c r="B136" s="265"/>
      <c r="C136" s="265"/>
      <c r="D136" s="265"/>
      <c r="E136" s="265"/>
      <c r="F136" s="265"/>
      <c r="G136" s="266"/>
      <c r="H136" s="267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268">
        <f t="shared" si="13"/>
        <v>0</v>
      </c>
      <c r="W136" s="238">
        <f t="shared" si="12"/>
        <v>0</v>
      </c>
      <c r="X136" s="197" t="s">
        <v>27</v>
      </c>
      <c r="Y136" s="292"/>
    </row>
    <row r="137" spans="1:25" x14ac:dyDescent="0.25">
      <c r="A137" s="52"/>
      <c r="B137" s="265"/>
      <c r="C137" s="265"/>
      <c r="D137" s="265"/>
      <c r="E137" s="265"/>
      <c r="F137" s="265"/>
      <c r="G137" s="266"/>
      <c r="H137" s="267"/>
      <c r="I137" s="61">
        <v>1</v>
      </c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268">
        <f t="shared" si="13"/>
        <v>0</v>
      </c>
      <c r="W137" s="238">
        <f t="shared" si="12"/>
        <v>0</v>
      </c>
      <c r="X137" s="36" t="s">
        <v>94</v>
      </c>
      <c r="Y137" s="292"/>
    </row>
    <row r="138" spans="1:25" x14ac:dyDescent="0.25">
      <c r="A138" s="52"/>
      <c r="B138" s="265"/>
      <c r="C138" s="265"/>
      <c r="D138" s="265"/>
      <c r="E138" s="265"/>
      <c r="F138" s="265" t="s">
        <v>100</v>
      </c>
      <c r="G138" s="266"/>
      <c r="H138" s="273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268">
        <f t="shared" si="13"/>
        <v>0</v>
      </c>
      <c r="W138" s="238">
        <f t="shared" si="12"/>
        <v>0</v>
      </c>
      <c r="X138" s="36" t="s">
        <v>160</v>
      </c>
      <c r="Y138" s="291"/>
    </row>
    <row r="139" spans="1:25" ht="15.75" thickBot="1" x14ac:dyDescent="0.3">
      <c r="A139" s="52"/>
      <c r="B139" s="265"/>
      <c r="C139" s="265"/>
      <c r="D139" s="265"/>
      <c r="E139" s="265"/>
      <c r="F139" s="265"/>
      <c r="G139" s="266"/>
      <c r="H139" s="273"/>
      <c r="I139" s="66">
        <v>2</v>
      </c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268">
        <f>SUM(H139,J139,L139,N139,P139,R139,U139,T139)</f>
        <v>0</v>
      </c>
      <c r="W139" s="258">
        <f t="shared" si="12"/>
        <v>0</v>
      </c>
      <c r="X139" s="197" t="s">
        <v>9</v>
      </c>
      <c r="Y139" s="292"/>
    </row>
    <row r="140" spans="1:25" ht="15.75" thickBot="1" x14ac:dyDescent="0.3">
      <c r="A140" s="52"/>
      <c r="B140" s="265"/>
      <c r="C140" s="265"/>
      <c r="D140" s="265"/>
      <c r="E140" s="265"/>
      <c r="F140" s="265"/>
      <c r="G140" s="266"/>
      <c r="H140" s="295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296"/>
      <c r="W140" s="166"/>
      <c r="X140" s="74" t="s">
        <v>21</v>
      </c>
      <c r="Y140" s="292"/>
    </row>
    <row r="141" spans="1:25" x14ac:dyDescent="0.25">
      <c r="A141" s="52"/>
      <c r="B141" s="265"/>
      <c r="C141" s="265"/>
      <c r="D141" s="265"/>
      <c r="E141" s="265"/>
      <c r="F141" s="265"/>
      <c r="G141" s="266"/>
      <c r="H141" s="297"/>
      <c r="I141" s="62"/>
      <c r="J141" s="62"/>
      <c r="K141" s="62"/>
      <c r="L141" s="62"/>
      <c r="M141" s="62"/>
      <c r="N141" s="62"/>
      <c r="O141" s="62"/>
      <c r="P141" s="62"/>
      <c r="Q141" s="61"/>
      <c r="R141" s="62"/>
      <c r="S141" s="62"/>
      <c r="T141" s="62"/>
      <c r="U141" s="62"/>
      <c r="V141" s="268">
        <f t="shared" ref="V141:V154" si="14">SUM(H141,J141,L141,N141,P141,R141,U141)</f>
        <v>0</v>
      </c>
      <c r="W141" s="237">
        <f t="shared" si="12"/>
        <v>0</v>
      </c>
      <c r="X141" s="341" t="s">
        <v>71</v>
      </c>
      <c r="Y141" s="292"/>
    </row>
    <row r="142" spans="1:25" x14ac:dyDescent="0.25">
      <c r="A142" s="52"/>
      <c r="B142" s="265"/>
      <c r="C142" s="265"/>
      <c r="D142" s="265"/>
      <c r="E142" s="265"/>
      <c r="F142" s="265"/>
      <c r="G142" s="266"/>
      <c r="H142" s="267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268">
        <f t="shared" si="14"/>
        <v>0</v>
      </c>
      <c r="W142" s="238">
        <f t="shared" si="12"/>
        <v>0</v>
      </c>
      <c r="X142" s="101" t="s">
        <v>26</v>
      </c>
      <c r="Y142" s="146"/>
    </row>
    <row r="143" spans="1:25" x14ac:dyDescent="0.25">
      <c r="A143" s="52"/>
      <c r="B143" s="265"/>
      <c r="C143" s="265"/>
      <c r="D143" s="265"/>
      <c r="E143" s="265"/>
      <c r="F143" s="265"/>
      <c r="G143" s="266"/>
      <c r="H143" s="267">
        <v>1</v>
      </c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268">
        <f t="shared" si="14"/>
        <v>1</v>
      </c>
      <c r="W143" s="238">
        <f t="shared" si="12"/>
        <v>1.6366612111292963E-3</v>
      </c>
      <c r="X143" s="337" t="s">
        <v>172</v>
      </c>
      <c r="Y143" s="146"/>
    </row>
    <row r="144" spans="1:25" x14ac:dyDescent="0.25">
      <c r="A144" s="52"/>
      <c r="B144" s="265"/>
      <c r="C144" s="265"/>
      <c r="D144" s="265"/>
      <c r="E144" s="265"/>
      <c r="F144" s="265"/>
      <c r="G144" s="266"/>
      <c r="H144" s="267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268">
        <f t="shared" si="14"/>
        <v>0</v>
      </c>
      <c r="W144" s="238">
        <f t="shared" si="12"/>
        <v>0</v>
      </c>
      <c r="X144" s="338" t="s">
        <v>25</v>
      </c>
      <c r="Y144" s="291"/>
    </row>
    <row r="145" spans="1:25" x14ac:dyDescent="0.25">
      <c r="A145" s="52"/>
      <c r="B145" s="265"/>
      <c r="C145" s="265"/>
      <c r="D145" s="265"/>
      <c r="E145" s="265"/>
      <c r="F145" s="265" t="s">
        <v>100</v>
      </c>
      <c r="G145" s="266"/>
      <c r="H145" s="267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268">
        <f t="shared" si="14"/>
        <v>0</v>
      </c>
      <c r="W145" s="238">
        <f t="shared" si="12"/>
        <v>0</v>
      </c>
      <c r="X145" s="337" t="s">
        <v>51</v>
      </c>
      <c r="Y145" s="146"/>
    </row>
    <row r="146" spans="1:25" x14ac:dyDescent="0.25">
      <c r="A146" s="52"/>
      <c r="B146" s="265"/>
      <c r="C146" s="265"/>
      <c r="D146" s="265"/>
      <c r="E146" s="265"/>
      <c r="F146" s="265"/>
      <c r="G146" s="266"/>
      <c r="H146" s="267">
        <v>2</v>
      </c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268">
        <f t="shared" si="14"/>
        <v>2</v>
      </c>
      <c r="W146" s="238">
        <f t="shared" si="12"/>
        <v>3.2733224222585926E-3</v>
      </c>
      <c r="X146" s="196" t="s">
        <v>12</v>
      </c>
      <c r="Y146" s="291"/>
    </row>
    <row r="147" spans="1:25" x14ac:dyDescent="0.25">
      <c r="A147" s="52"/>
      <c r="B147" s="265"/>
      <c r="C147" s="265"/>
      <c r="D147" s="265"/>
      <c r="E147" s="265"/>
      <c r="F147" s="265"/>
      <c r="G147" s="266"/>
      <c r="H147" s="267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268">
        <f t="shared" si="14"/>
        <v>0</v>
      </c>
      <c r="W147" s="238">
        <f t="shared" si="12"/>
        <v>0</v>
      </c>
      <c r="X147" s="336" t="s">
        <v>161</v>
      </c>
      <c r="Y147" s="291"/>
    </row>
    <row r="148" spans="1:25" x14ac:dyDescent="0.25">
      <c r="A148" s="52"/>
      <c r="B148" s="265"/>
      <c r="C148" s="265"/>
      <c r="D148" s="265"/>
      <c r="E148" s="265"/>
      <c r="F148" s="265"/>
      <c r="G148" s="266"/>
      <c r="H148" s="267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268">
        <f t="shared" si="14"/>
        <v>0</v>
      </c>
      <c r="W148" s="238">
        <f t="shared" si="12"/>
        <v>0</v>
      </c>
      <c r="X148" s="338" t="s">
        <v>169</v>
      </c>
      <c r="Y148" s="291" t="s">
        <v>180</v>
      </c>
    </row>
    <row r="149" spans="1:25" x14ac:dyDescent="0.25">
      <c r="A149" s="52"/>
      <c r="B149" s="265"/>
      <c r="C149" s="265"/>
      <c r="D149" s="265"/>
      <c r="E149" s="265"/>
      <c r="F149" s="265"/>
      <c r="G149" s="266"/>
      <c r="H149" s="267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268">
        <f t="shared" si="14"/>
        <v>0</v>
      </c>
      <c r="W149" s="238">
        <f t="shared" si="12"/>
        <v>0</v>
      </c>
      <c r="X149" s="338" t="s">
        <v>197</v>
      </c>
      <c r="Y149" s="291"/>
    </row>
    <row r="150" spans="1:25" x14ac:dyDescent="0.25">
      <c r="A150" s="52"/>
      <c r="B150" s="265"/>
      <c r="C150" s="265"/>
      <c r="D150" s="265"/>
      <c r="E150" s="265"/>
      <c r="F150" s="265"/>
      <c r="G150" s="266"/>
      <c r="H150" s="267">
        <v>2</v>
      </c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268">
        <f t="shared" si="14"/>
        <v>2</v>
      </c>
      <c r="W150" s="238">
        <f t="shared" si="12"/>
        <v>3.2733224222585926E-3</v>
      </c>
      <c r="X150" s="338" t="s">
        <v>101</v>
      </c>
      <c r="Y150" s="291"/>
    </row>
    <row r="151" spans="1:25" x14ac:dyDescent="0.25">
      <c r="A151" s="52"/>
      <c r="B151" s="265"/>
      <c r="C151" s="265"/>
      <c r="D151" s="265"/>
      <c r="E151" s="265"/>
      <c r="F151" s="265"/>
      <c r="G151" s="266"/>
      <c r="H151" s="267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268">
        <f t="shared" si="14"/>
        <v>0</v>
      </c>
      <c r="W151" s="238">
        <f t="shared" si="12"/>
        <v>0</v>
      </c>
      <c r="X151" s="196" t="s">
        <v>35</v>
      </c>
      <c r="Y151" s="291"/>
    </row>
    <row r="152" spans="1:25" x14ac:dyDescent="0.25">
      <c r="A152" s="52"/>
      <c r="B152" s="265"/>
      <c r="C152" s="265"/>
      <c r="D152" s="265"/>
      <c r="E152" s="265"/>
      <c r="F152" s="265"/>
      <c r="G152" s="266"/>
      <c r="H152" s="267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268">
        <f t="shared" si="14"/>
        <v>0</v>
      </c>
      <c r="W152" s="238">
        <f t="shared" si="12"/>
        <v>0</v>
      </c>
      <c r="X152" s="196" t="s">
        <v>203</v>
      </c>
      <c r="Y152" s="291"/>
    </row>
    <row r="153" spans="1:25" ht="15.75" thickBot="1" x14ac:dyDescent="0.3">
      <c r="A153" s="155"/>
      <c r="B153" s="156"/>
      <c r="C153" s="156"/>
      <c r="D153" s="156"/>
      <c r="E153" s="156"/>
      <c r="F153" s="156"/>
      <c r="G153" s="266"/>
      <c r="H153" s="267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268">
        <f t="shared" si="14"/>
        <v>0</v>
      </c>
      <c r="W153" s="236">
        <f t="shared" si="12"/>
        <v>0</v>
      </c>
      <c r="X153" s="38" t="s">
        <v>85</v>
      </c>
      <c r="Y153" s="298"/>
    </row>
    <row r="154" spans="1:25" ht="15.75" thickBot="1" x14ac:dyDescent="0.3">
      <c r="A154" s="41"/>
      <c r="B154" s="41"/>
      <c r="C154" s="41"/>
      <c r="D154" s="41"/>
      <c r="E154" s="41"/>
      <c r="F154" s="41"/>
      <c r="G154" s="47" t="s">
        <v>4</v>
      </c>
      <c r="H154" s="57">
        <f>SUM(H120:H153)</f>
        <v>35</v>
      </c>
      <c r="I154" s="57">
        <f>SUM(I120:I153)</f>
        <v>45</v>
      </c>
      <c r="J154" s="57">
        <f t="shared" ref="J154:U154" si="15">SUM(J120:J153)</f>
        <v>6</v>
      </c>
      <c r="K154" s="57">
        <f t="shared" si="15"/>
        <v>0</v>
      </c>
      <c r="L154" s="57">
        <f t="shared" si="15"/>
        <v>0</v>
      </c>
      <c r="M154" s="57">
        <f t="shared" si="15"/>
        <v>0</v>
      </c>
      <c r="N154" s="57">
        <f t="shared" si="15"/>
        <v>0</v>
      </c>
      <c r="O154" s="57">
        <f t="shared" si="15"/>
        <v>0</v>
      </c>
      <c r="P154" s="57">
        <f t="shared" si="15"/>
        <v>0</v>
      </c>
      <c r="Q154" s="57">
        <f t="shared" si="15"/>
        <v>0</v>
      </c>
      <c r="R154" s="57">
        <f t="shared" si="15"/>
        <v>0</v>
      </c>
      <c r="S154" s="57">
        <f t="shared" si="15"/>
        <v>0</v>
      </c>
      <c r="T154" s="57">
        <f t="shared" si="15"/>
        <v>0</v>
      </c>
      <c r="U154" s="57">
        <f t="shared" si="15"/>
        <v>2</v>
      </c>
      <c r="V154" s="288">
        <f t="shared" si="14"/>
        <v>43</v>
      </c>
      <c r="W154" s="328">
        <f t="shared" si="12"/>
        <v>7.0376432078559745E-2</v>
      </c>
    </row>
    <row r="156" spans="1:25" ht="15.75" thickBot="1" x14ac:dyDescent="0.3"/>
    <row r="157" spans="1:25" ht="60.75" thickBot="1" x14ac:dyDescent="0.3">
      <c r="A157" s="43" t="s">
        <v>22</v>
      </c>
      <c r="B157" s="43" t="s">
        <v>47</v>
      </c>
      <c r="C157" s="43" t="s">
        <v>52</v>
      </c>
      <c r="D157" s="43" t="s">
        <v>17</v>
      </c>
      <c r="E157" s="42" t="s">
        <v>16</v>
      </c>
      <c r="F157" s="44" t="s">
        <v>1</v>
      </c>
      <c r="G157" s="45" t="s">
        <v>23</v>
      </c>
      <c r="H157" s="76" t="s">
        <v>66</v>
      </c>
      <c r="I157" s="46" t="s">
        <v>67</v>
      </c>
      <c r="J157" s="46" t="s">
        <v>53</v>
      </c>
      <c r="K157" s="46" t="s">
        <v>58</v>
      </c>
      <c r="L157" s="46" t="s">
        <v>54</v>
      </c>
      <c r="M157" s="46" t="s">
        <v>59</v>
      </c>
      <c r="N157" s="46" t="s">
        <v>55</v>
      </c>
      <c r="O157" s="46" t="s">
        <v>60</v>
      </c>
      <c r="P157" s="46" t="s">
        <v>56</v>
      </c>
      <c r="Q157" s="46" t="s">
        <v>63</v>
      </c>
      <c r="R157" s="46" t="s">
        <v>57</v>
      </c>
      <c r="S157" s="46" t="s">
        <v>64</v>
      </c>
      <c r="T157" s="46" t="s">
        <v>115</v>
      </c>
      <c r="U157" s="46" t="s">
        <v>41</v>
      </c>
      <c r="V157" s="46" t="s">
        <v>4</v>
      </c>
      <c r="W157" s="42" t="s">
        <v>2</v>
      </c>
      <c r="X157" s="33" t="s">
        <v>20</v>
      </c>
      <c r="Y157" s="32" t="s">
        <v>6</v>
      </c>
    </row>
    <row r="158" spans="1:25" ht="15.75" thickBot="1" x14ac:dyDescent="0.3">
      <c r="A158" s="73">
        <v>1513804</v>
      </c>
      <c r="B158" s="73" t="s">
        <v>179</v>
      </c>
      <c r="C158" s="317">
        <v>576</v>
      </c>
      <c r="D158" s="317">
        <v>595</v>
      </c>
      <c r="E158" s="317">
        <v>562</v>
      </c>
      <c r="F158" s="318">
        <f>E158/D158</f>
        <v>0.9445378151260504</v>
      </c>
      <c r="G158" s="48">
        <v>45307</v>
      </c>
      <c r="H158" s="82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4"/>
      <c r="T158" s="296"/>
      <c r="U158" s="115"/>
      <c r="V158" s="115"/>
      <c r="W158" s="84"/>
      <c r="X158" s="86" t="s">
        <v>75</v>
      </c>
      <c r="Y158" s="353" t="s">
        <v>70</v>
      </c>
    </row>
    <row r="159" spans="1:25" x14ac:dyDescent="0.25">
      <c r="A159" s="52"/>
      <c r="B159" s="265"/>
      <c r="C159" s="265"/>
      <c r="D159" s="265"/>
      <c r="E159" s="265"/>
      <c r="F159" s="265"/>
      <c r="G159" s="266"/>
      <c r="H159" s="262"/>
      <c r="I159" s="59">
        <v>6</v>
      </c>
      <c r="J159" s="59">
        <v>2</v>
      </c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286">
        <f>SUM(H159,J159,L159,N159,P159,R159,U159,T159)</f>
        <v>2</v>
      </c>
      <c r="W159" s="237">
        <f>$V159/$D$158</f>
        <v>3.3613445378151263E-3</v>
      </c>
      <c r="X159" s="35" t="s">
        <v>18</v>
      </c>
      <c r="Y159" s="260"/>
    </row>
    <row r="160" spans="1:25" x14ac:dyDescent="0.25">
      <c r="A160" s="52"/>
      <c r="B160" s="265"/>
      <c r="C160" s="265"/>
      <c r="D160" s="265"/>
      <c r="E160" s="265"/>
      <c r="F160" s="265"/>
      <c r="G160" s="266"/>
      <c r="H160" s="267">
        <v>4</v>
      </c>
      <c r="I160" s="61"/>
      <c r="J160" s="61"/>
      <c r="K160" s="61"/>
      <c r="L160" s="61"/>
      <c r="M160" s="61"/>
      <c r="N160" s="66"/>
      <c r="O160" s="61"/>
      <c r="P160" s="61"/>
      <c r="Q160" s="61"/>
      <c r="R160" s="61"/>
      <c r="S160" s="61"/>
      <c r="T160" s="61"/>
      <c r="U160" s="61"/>
      <c r="V160" s="268">
        <f>SUM(H160,J160,L160,N160,P160,R160,U160,T160)</f>
        <v>4</v>
      </c>
      <c r="W160" s="238">
        <f>$V160/$D$158</f>
        <v>6.7226890756302525E-3</v>
      </c>
      <c r="X160" s="196" t="s">
        <v>48</v>
      </c>
      <c r="Y160" s="260"/>
    </row>
    <row r="161" spans="1:25" x14ac:dyDescent="0.25">
      <c r="A161" s="52"/>
      <c r="B161" s="265"/>
      <c r="C161" s="265"/>
      <c r="D161" s="265"/>
      <c r="E161" s="265"/>
      <c r="F161" s="265"/>
      <c r="G161" s="266"/>
      <c r="H161" s="267">
        <v>11</v>
      </c>
      <c r="I161" s="61"/>
      <c r="J161" s="61">
        <v>3</v>
      </c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268">
        <f t="shared" ref="V161:V177" si="16">SUM(H161,J161,L161,N161,P161,R161,U161,T161)</f>
        <v>14</v>
      </c>
      <c r="W161" s="238">
        <f t="shared" ref="W161:W177" si="17">$V161/$D$158</f>
        <v>2.3529411764705882E-2</v>
      </c>
      <c r="X161" s="36" t="s">
        <v>15</v>
      </c>
      <c r="Y161" s="282"/>
    </row>
    <row r="162" spans="1:25" x14ac:dyDescent="0.25">
      <c r="A162" s="52"/>
      <c r="B162" s="265"/>
      <c r="C162" s="265"/>
      <c r="D162" s="265"/>
      <c r="E162" s="265"/>
      <c r="F162" s="265"/>
      <c r="G162" s="266"/>
      <c r="H162" s="267"/>
      <c r="I162" s="61"/>
      <c r="J162" s="290"/>
      <c r="K162" s="290"/>
      <c r="L162" s="290"/>
      <c r="M162" s="61"/>
      <c r="N162" s="61"/>
      <c r="O162" s="61"/>
      <c r="P162" s="61"/>
      <c r="Q162" s="61"/>
      <c r="R162" s="61"/>
      <c r="S162" s="61"/>
      <c r="T162" s="61"/>
      <c r="U162" s="61"/>
      <c r="V162" s="268">
        <f t="shared" si="16"/>
        <v>0</v>
      </c>
      <c r="W162" s="238">
        <f t="shared" si="17"/>
        <v>0</v>
      </c>
      <c r="X162" s="338" t="s">
        <v>84</v>
      </c>
      <c r="Y162" s="282"/>
    </row>
    <row r="163" spans="1:25" x14ac:dyDescent="0.25">
      <c r="A163" s="52"/>
      <c r="B163" s="265"/>
      <c r="C163" s="265"/>
      <c r="D163" s="265"/>
      <c r="E163" s="265"/>
      <c r="F163" s="265"/>
      <c r="G163" s="266"/>
      <c r="H163" s="267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268">
        <f t="shared" si="16"/>
        <v>0</v>
      </c>
      <c r="W163" s="238">
        <f t="shared" si="17"/>
        <v>0</v>
      </c>
      <c r="X163" s="36" t="s">
        <v>13</v>
      </c>
      <c r="Y163" s="146"/>
    </row>
    <row r="164" spans="1:25" x14ac:dyDescent="0.25">
      <c r="A164" s="52"/>
      <c r="B164" s="265"/>
      <c r="C164" s="265"/>
      <c r="D164" s="265"/>
      <c r="E164" s="265"/>
      <c r="F164" s="265"/>
      <c r="G164" s="266"/>
      <c r="H164" s="267"/>
      <c r="I164" s="61">
        <v>4</v>
      </c>
      <c r="J164" s="61">
        <v>4</v>
      </c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>
        <v>1</v>
      </c>
      <c r="V164" s="268">
        <f t="shared" si="16"/>
        <v>5</v>
      </c>
      <c r="W164" s="238">
        <f t="shared" si="17"/>
        <v>8.4033613445378148E-3</v>
      </c>
      <c r="X164" s="36" t="s">
        <v>14</v>
      </c>
      <c r="Y164" s="264"/>
    </row>
    <row r="165" spans="1:25" x14ac:dyDescent="0.25">
      <c r="A165" s="52" t="s">
        <v>157</v>
      </c>
      <c r="B165" s="265"/>
      <c r="C165" s="265"/>
      <c r="D165" s="265"/>
      <c r="E165" s="265"/>
      <c r="F165" s="265"/>
      <c r="G165" s="266"/>
      <c r="H165" s="267"/>
      <c r="I165" s="61">
        <v>9</v>
      </c>
      <c r="J165" s="61">
        <v>2</v>
      </c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268">
        <f t="shared" si="16"/>
        <v>2</v>
      </c>
      <c r="W165" s="238">
        <f t="shared" si="17"/>
        <v>3.3613445378151263E-3</v>
      </c>
      <c r="X165" s="36" t="s">
        <v>7</v>
      </c>
      <c r="Y165" s="264"/>
    </row>
    <row r="166" spans="1:25" x14ac:dyDescent="0.25">
      <c r="A166" s="52"/>
      <c r="B166" s="265"/>
      <c r="C166" s="265"/>
      <c r="D166" s="265"/>
      <c r="E166" s="265"/>
      <c r="F166" s="265"/>
      <c r="G166" s="266"/>
      <c r="H166" s="267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268">
        <f t="shared" si="16"/>
        <v>0</v>
      </c>
      <c r="W166" s="238">
        <f t="shared" si="17"/>
        <v>0</v>
      </c>
      <c r="X166" s="36" t="s">
        <v>8</v>
      </c>
      <c r="Y166" s="291"/>
    </row>
    <row r="167" spans="1:25" x14ac:dyDescent="0.25">
      <c r="A167" s="52"/>
      <c r="B167" s="265"/>
      <c r="C167" s="265"/>
      <c r="D167" s="265"/>
      <c r="E167" s="265"/>
      <c r="F167" s="265"/>
      <c r="G167" s="266"/>
      <c r="H167" s="285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268">
        <f t="shared" si="16"/>
        <v>0</v>
      </c>
      <c r="W167" s="238">
        <f t="shared" si="17"/>
        <v>0</v>
      </c>
      <c r="X167" s="36" t="s">
        <v>68</v>
      </c>
      <c r="Y167" s="291"/>
    </row>
    <row r="168" spans="1:25" x14ac:dyDescent="0.25">
      <c r="A168" s="52"/>
      <c r="B168" s="265"/>
      <c r="C168" s="265"/>
      <c r="D168" s="265"/>
      <c r="E168" s="265"/>
      <c r="F168" s="265"/>
      <c r="G168" s="266"/>
      <c r="H168" s="285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268">
        <f t="shared" si="16"/>
        <v>0</v>
      </c>
      <c r="W168" s="238">
        <f t="shared" si="17"/>
        <v>0</v>
      </c>
      <c r="X168" s="36" t="s">
        <v>0</v>
      </c>
      <c r="Y168" s="292"/>
    </row>
    <row r="169" spans="1:25" x14ac:dyDescent="0.25">
      <c r="A169" s="52"/>
      <c r="B169" s="265"/>
      <c r="C169" s="265"/>
      <c r="D169" s="265"/>
      <c r="E169" s="265"/>
      <c r="F169" s="265"/>
      <c r="G169" s="266"/>
      <c r="H169" s="285"/>
      <c r="I169" s="61">
        <v>1</v>
      </c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268">
        <f t="shared" si="16"/>
        <v>0</v>
      </c>
      <c r="W169" s="238">
        <f t="shared" si="17"/>
        <v>0</v>
      </c>
      <c r="X169" s="36" t="s">
        <v>19</v>
      </c>
      <c r="Y169" s="292"/>
    </row>
    <row r="170" spans="1:25" x14ac:dyDescent="0.25">
      <c r="A170" s="52"/>
      <c r="B170" s="265"/>
      <c r="C170" s="265"/>
      <c r="D170" s="265"/>
      <c r="E170" s="265"/>
      <c r="F170" s="265" t="s">
        <v>100</v>
      </c>
      <c r="G170" s="266"/>
      <c r="H170" s="285"/>
      <c r="I170" s="61">
        <v>2</v>
      </c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268">
        <f t="shared" si="16"/>
        <v>0</v>
      </c>
      <c r="W170" s="238">
        <f t="shared" si="17"/>
        <v>0</v>
      </c>
      <c r="X170" s="36" t="s">
        <v>3</v>
      </c>
      <c r="Y170" s="292"/>
    </row>
    <row r="171" spans="1:25" x14ac:dyDescent="0.25">
      <c r="A171" s="303"/>
      <c r="B171" s="305"/>
      <c r="C171" s="305"/>
      <c r="D171" s="305"/>
      <c r="E171" s="305"/>
      <c r="F171" s="305"/>
      <c r="G171" s="304"/>
      <c r="H171" s="293"/>
      <c r="I171" s="61">
        <v>5</v>
      </c>
      <c r="J171" s="66">
        <v>1</v>
      </c>
      <c r="K171" s="66"/>
      <c r="L171" s="66"/>
      <c r="M171" s="61"/>
      <c r="N171" s="66"/>
      <c r="O171" s="66"/>
      <c r="P171" s="66"/>
      <c r="Q171" s="66"/>
      <c r="R171" s="66"/>
      <c r="S171" s="66"/>
      <c r="T171" s="66"/>
      <c r="U171" s="66"/>
      <c r="V171" s="268">
        <f t="shared" si="16"/>
        <v>1</v>
      </c>
      <c r="W171" s="238">
        <f t="shared" si="17"/>
        <v>1.6806722689075631E-3</v>
      </c>
      <c r="X171" s="36" t="s">
        <v>199</v>
      </c>
      <c r="Y171" s="292"/>
    </row>
    <row r="172" spans="1:25" x14ac:dyDescent="0.25">
      <c r="A172" s="303"/>
      <c r="B172" s="305"/>
      <c r="C172" s="305"/>
      <c r="D172" s="305"/>
      <c r="E172" s="305"/>
      <c r="F172" s="305"/>
      <c r="G172" s="304"/>
      <c r="H172" s="289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268">
        <f t="shared" si="16"/>
        <v>0</v>
      </c>
      <c r="W172" s="238">
        <f t="shared" si="17"/>
        <v>0</v>
      </c>
      <c r="X172" s="196" t="s">
        <v>80</v>
      </c>
      <c r="Y172" s="292"/>
    </row>
    <row r="173" spans="1:25" x14ac:dyDescent="0.25">
      <c r="A173" s="52"/>
      <c r="B173" s="265"/>
      <c r="C173" s="265"/>
      <c r="D173" s="265"/>
      <c r="E173" s="265"/>
      <c r="F173" s="265"/>
      <c r="G173" s="56"/>
      <c r="H173" s="276"/>
      <c r="I173" s="276">
        <v>5</v>
      </c>
      <c r="J173" s="61"/>
      <c r="K173" s="61"/>
      <c r="L173" s="61"/>
      <c r="M173" s="276"/>
      <c r="N173" s="61"/>
      <c r="O173" s="61"/>
      <c r="P173" s="61"/>
      <c r="Q173" s="61"/>
      <c r="R173" s="61"/>
      <c r="S173" s="61"/>
      <c r="T173" s="61"/>
      <c r="U173" s="61"/>
      <c r="V173" s="268">
        <f t="shared" si="16"/>
        <v>0</v>
      </c>
      <c r="W173" s="238">
        <f t="shared" si="17"/>
        <v>0</v>
      </c>
      <c r="X173" s="196" t="s">
        <v>12</v>
      </c>
      <c r="Y173" s="294"/>
    </row>
    <row r="174" spans="1:25" x14ac:dyDescent="0.25">
      <c r="A174" s="52"/>
      <c r="B174" s="265"/>
      <c r="C174" s="265"/>
      <c r="D174" s="265"/>
      <c r="E174" s="265"/>
      <c r="F174" s="265"/>
      <c r="G174" s="56"/>
      <c r="H174" s="276"/>
      <c r="I174" s="61">
        <v>4</v>
      </c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268">
        <f t="shared" si="16"/>
        <v>0</v>
      </c>
      <c r="W174" s="238">
        <f t="shared" si="17"/>
        <v>0</v>
      </c>
      <c r="X174" s="36" t="s">
        <v>92</v>
      </c>
      <c r="Y174" s="147" t="s">
        <v>241</v>
      </c>
    </row>
    <row r="175" spans="1:25" x14ac:dyDescent="0.25">
      <c r="A175" s="52"/>
      <c r="B175" s="265"/>
      <c r="C175" s="265"/>
      <c r="D175" s="265"/>
      <c r="E175" s="265"/>
      <c r="F175" s="265"/>
      <c r="G175" s="266"/>
      <c r="H175" s="267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268">
        <f t="shared" si="16"/>
        <v>0</v>
      </c>
      <c r="W175" s="238">
        <f t="shared" si="17"/>
        <v>0</v>
      </c>
      <c r="X175" s="197" t="s">
        <v>27</v>
      </c>
      <c r="Y175" s="292"/>
    </row>
    <row r="176" spans="1:25" x14ac:dyDescent="0.25">
      <c r="A176" s="52"/>
      <c r="B176" s="265"/>
      <c r="C176" s="265"/>
      <c r="D176" s="265"/>
      <c r="E176" s="265"/>
      <c r="F176" s="265"/>
      <c r="G176" s="266"/>
      <c r="H176" s="267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268">
        <f t="shared" si="16"/>
        <v>0</v>
      </c>
      <c r="W176" s="238">
        <f t="shared" si="17"/>
        <v>0</v>
      </c>
      <c r="X176" s="36" t="s">
        <v>94</v>
      </c>
      <c r="Y176" s="292"/>
    </row>
    <row r="177" spans="1:25" x14ac:dyDescent="0.25">
      <c r="A177" s="52"/>
      <c r="B177" s="265"/>
      <c r="C177" s="265"/>
      <c r="D177" s="265"/>
      <c r="E177" s="265"/>
      <c r="F177" s="265" t="s">
        <v>100</v>
      </c>
      <c r="G177" s="266"/>
      <c r="H177" s="273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268">
        <f t="shared" si="16"/>
        <v>0</v>
      </c>
      <c r="W177" s="238">
        <f t="shared" si="17"/>
        <v>0</v>
      </c>
      <c r="X177" s="36" t="s">
        <v>160</v>
      </c>
      <c r="Y177" s="291"/>
    </row>
    <row r="178" spans="1:25" ht="15.75" thickBot="1" x14ac:dyDescent="0.3">
      <c r="A178" s="52"/>
      <c r="B178" s="265"/>
      <c r="C178" s="265"/>
      <c r="D178" s="265"/>
      <c r="E178" s="265"/>
      <c r="F178" s="265"/>
      <c r="G178" s="266"/>
      <c r="H178" s="273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>
        <v>1</v>
      </c>
      <c r="V178" s="268">
        <f>SUM(H178,J178,L178,N178,P178,R178,U178,T178)</f>
        <v>1</v>
      </c>
      <c r="W178" s="258">
        <f>$V178/$D$158</f>
        <v>1.6806722689075631E-3</v>
      </c>
      <c r="X178" s="197" t="s">
        <v>9</v>
      </c>
      <c r="Y178" s="292"/>
    </row>
    <row r="179" spans="1:25" ht="15.75" thickBot="1" x14ac:dyDescent="0.3">
      <c r="A179" s="52"/>
      <c r="B179" s="265"/>
      <c r="C179" s="265"/>
      <c r="D179" s="265"/>
      <c r="E179" s="265"/>
      <c r="F179" s="265"/>
      <c r="G179" s="266"/>
      <c r="H179" s="295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296"/>
      <c r="W179" s="166"/>
      <c r="X179" s="74" t="s">
        <v>21</v>
      </c>
      <c r="Y179" s="292"/>
    </row>
    <row r="180" spans="1:25" x14ac:dyDescent="0.25">
      <c r="A180" s="52"/>
      <c r="B180" s="265"/>
      <c r="C180" s="265"/>
      <c r="D180" s="265"/>
      <c r="E180" s="265"/>
      <c r="F180" s="265"/>
      <c r="G180" s="266"/>
      <c r="H180" s="297"/>
      <c r="I180" s="62"/>
      <c r="J180" s="62"/>
      <c r="K180" s="62"/>
      <c r="L180" s="62"/>
      <c r="M180" s="62"/>
      <c r="N180" s="62"/>
      <c r="O180" s="62"/>
      <c r="P180" s="62"/>
      <c r="Q180" s="61"/>
      <c r="R180" s="62"/>
      <c r="S180" s="62"/>
      <c r="T180" s="62"/>
      <c r="U180" s="62"/>
      <c r="V180" s="268">
        <f t="shared" ref="V180:V193" si="18">SUM(H180,J180,L180,N180,P180,R180,U180)</f>
        <v>0</v>
      </c>
      <c r="W180" s="237">
        <f>$V180/$D$158</f>
        <v>0</v>
      </c>
      <c r="X180" s="341" t="s">
        <v>71</v>
      </c>
      <c r="Y180" s="292"/>
    </row>
    <row r="181" spans="1:25" x14ac:dyDescent="0.25">
      <c r="A181" s="52"/>
      <c r="B181" s="265"/>
      <c r="C181" s="265"/>
      <c r="D181" s="265"/>
      <c r="E181" s="265"/>
      <c r="F181" s="265"/>
      <c r="G181" s="266"/>
      <c r="H181" s="267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268">
        <f t="shared" si="18"/>
        <v>0</v>
      </c>
      <c r="W181" s="238">
        <f>$V181/$D$158</f>
        <v>0</v>
      </c>
      <c r="X181" s="101" t="s">
        <v>26</v>
      </c>
      <c r="Y181" s="146"/>
    </row>
    <row r="182" spans="1:25" x14ac:dyDescent="0.25">
      <c r="A182" s="52"/>
      <c r="B182" s="265"/>
      <c r="C182" s="265"/>
      <c r="D182" s="265"/>
      <c r="E182" s="265"/>
      <c r="F182" s="265"/>
      <c r="G182" s="266"/>
      <c r="H182" s="267">
        <v>1</v>
      </c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268">
        <f t="shared" si="18"/>
        <v>1</v>
      </c>
      <c r="W182" s="238">
        <f t="shared" ref="W182:W191" si="19">$V182/$D$158</f>
        <v>1.6806722689075631E-3</v>
      </c>
      <c r="X182" s="337" t="s">
        <v>172</v>
      </c>
      <c r="Y182" s="146"/>
    </row>
    <row r="183" spans="1:25" x14ac:dyDescent="0.25">
      <c r="A183" s="52"/>
      <c r="B183" s="265"/>
      <c r="C183" s="265"/>
      <c r="D183" s="265"/>
      <c r="E183" s="265"/>
      <c r="F183" s="265"/>
      <c r="G183" s="266"/>
      <c r="H183" s="267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268">
        <f t="shared" si="18"/>
        <v>0</v>
      </c>
      <c r="W183" s="238">
        <f t="shared" si="19"/>
        <v>0</v>
      </c>
      <c r="X183" s="338" t="s">
        <v>25</v>
      </c>
      <c r="Y183" s="291"/>
    </row>
    <row r="184" spans="1:25" x14ac:dyDescent="0.25">
      <c r="A184" s="52"/>
      <c r="B184" s="265"/>
      <c r="C184" s="265"/>
      <c r="D184" s="265"/>
      <c r="E184" s="265"/>
      <c r="F184" s="265" t="s">
        <v>100</v>
      </c>
      <c r="G184" s="266"/>
      <c r="H184" s="267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268">
        <f t="shared" si="18"/>
        <v>0</v>
      </c>
      <c r="W184" s="238">
        <f t="shared" si="19"/>
        <v>0</v>
      </c>
      <c r="X184" s="337" t="s">
        <v>51</v>
      </c>
      <c r="Y184" s="146"/>
    </row>
    <row r="185" spans="1:25" x14ac:dyDescent="0.25">
      <c r="A185" s="52"/>
      <c r="B185" s="265"/>
      <c r="C185" s="265"/>
      <c r="D185" s="265"/>
      <c r="E185" s="265"/>
      <c r="F185" s="265"/>
      <c r="G185" s="266"/>
      <c r="H185" s="267">
        <v>1</v>
      </c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268">
        <f t="shared" si="18"/>
        <v>1</v>
      </c>
      <c r="W185" s="238">
        <f t="shared" si="19"/>
        <v>1.6806722689075631E-3</v>
      </c>
      <c r="X185" s="196" t="s">
        <v>12</v>
      </c>
      <c r="Y185" s="291"/>
    </row>
    <row r="186" spans="1:25" x14ac:dyDescent="0.25">
      <c r="A186" s="52"/>
      <c r="B186" s="265"/>
      <c r="C186" s="265"/>
      <c r="D186" s="265"/>
      <c r="E186" s="265"/>
      <c r="F186" s="265"/>
      <c r="G186" s="266"/>
      <c r="H186" s="267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268">
        <f t="shared" si="18"/>
        <v>0</v>
      </c>
      <c r="W186" s="238">
        <f t="shared" si="19"/>
        <v>0</v>
      </c>
      <c r="X186" s="336" t="s">
        <v>161</v>
      </c>
      <c r="Y186" s="291"/>
    </row>
    <row r="187" spans="1:25" x14ac:dyDescent="0.25">
      <c r="A187" s="52"/>
      <c r="B187" s="265"/>
      <c r="C187" s="265"/>
      <c r="D187" s="265"/>
      <c r="E187" s="265"/>
      <c r="F187" s="265"/>
      <c r="G187" s="266"/>
      <c r="H187" s="267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268">
        <f t="shared" si="18"/>
        <v>0</v>
      </c>
      <c r="W187" s="238">
        <f t="shared" si="19"/>
        <v>0</v>
      </c>
      <c r="X187" s="338" t="s">
        <v>169</v>
      </c>
      <c r="Y187" s="291" t="s">
        <v>237</v>
      </c>
    </row>
    <row r="188" spans="1:25" x14ac:dyDescent="0.25">
      <c r="A188" s="52"/>
      <c r="B188" s="265"/>
      <c r="C188" s="265"/>
      <c r="D188" s="265"/>
      <c r="E188" s="265"/>
      <c r="F188" s="265"/>
      <c r="G188" s="266"/>
      <c r="H188" s="267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268">
        <f t="shared" si="18"/>
        <v>0</v>
      </c>
      <c r="W188" s="238">
        <f t="shared" si="19"/>
        <v>0</v>
      </c>
      <c r="X188" s="338" t="s">
        <v>197</v>
      </c>
      <c r="Y188" s="291"/>
    </row>
    <row r="189" spans="1:25" x14ac:dyDescent="0.25">
      <c r="A189" s="52"/>
      <c r="B189" s="265"/>
      <c r="C189" s="265"/>
      <c r="D189" s="265"/>
      <c r="E189" s="265"/>
      <c r="F189" s="265"/>
      <c r="G189" s="266"/>
      <c r="H189" s="267">
        <v>2</v>
      </c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268">
        <f t="shared" si="18"/>
        <v>2</v>
      </c>
      <c r="W189" s="238">
        <f t="shared" si="19"/>
        <v>3.3613445378151263E-3</v>
      </c>
      <c r="X189" s="338" t="s">
        <v>101</v>
      </c>
      <c r="Y189" s="291"/>
    </row>
    <row r="190" spans="1:25" x14ac:dyDescent="0.25">
      <c r="A190" s="52"/>
      <c r="B190" s="265"/>
      <c r="C190" s="265"/>
      <c r="D190" s="265"/>
      <c r="E190" s="265"/>
      <c r="F190" s="265"/>
      <c r="G190" s="266"/>
      <c r="H190" s="267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268">
        <f t="shared" si="18"/>
        <v>0</v>
      </c>
      <c r="W190" s="238">
        <f t="shared" si="19"/>
        <v>0</v>
      </c>
      <c r="X190" s="196" t="s">
        <v>35</v>
      </c>
      <c r="Y190" s="291"/>
    </row>
    <row r="191" spans="1:25" x14ac:dyDescent="0.25">
      <c r="A191" s="52"/>
      <c r="B191" s="265"/>
      <c r="C191" s="265"/>
      <c r="D191" s="265"/>
      <c r="E191" s="265"/>
      <c r="F191" s="265"/>
      <c r="G191" s="266"/>
      <c r="H191" s="267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268">
        <f t="shared" si="18"/>
        <v>0</v>
      </c>
      <c r="W191" s="238">
        <f t="shared" si="19"/>
        <v>0</v>
      </c>
      <c r="X191" s="196" t="s">
        <v>203</v>
      </c>
      <c r="Y191" s="291"/>
    </row>
    <row r="192" spans="1:25" ht="15.75" thickBot="1" x14ac:dyDescent="0.3">
      <c r="A192" s="155"/>
      <c r="B192" s="156"/>
      <c r="C192" s="156"/>
      <c r="D192" s="156"/>
      <c r="E192" s="156"/>
      <c r="F192" s="156"/>
      <c r="G192" s="266"/>
      <c r="H192" s="267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268">
        <f t="shared" si="18"/>
        <v>0</v>
      </c>
      <c r="W192" s="236">
        <f>$V192/$D$158</f>
        <v>0</v>
      </c>
      <c r="X192" s="38" t="s">
        <v>85</v>
      </c>
      <c r="Y192" s="298"/>
    </row>
    <row r="193" spans="1:25" ht="15.75" thickBot="1" x14ac:dyDescent="0.3">
      <c r="A193" s="41"/>
      <c r="B193" s="41"/>
      <c r="C193" s="41"/>
      <c r="D193" s="41"/>
      <c r="E193" s="41"/>
      <c r="F193" s="41"/>
      <c r="G193" s="47" t="s">
        <v>4</v>
      </c>
      <c r="H193" s="57">
        <f>SUM(H159:H192)</f>
        <v>19</v>
      </c>
      <c r="I193" s="57">
        <f>SUM(I159:I192)</f>
        <v>36</v>
      </c>
      <c r="J193" s="57">
        <f t="shared" ref="J193:U193" si="20">SUM(J159:J192)</f>
        <v>12</v>
      </c>
      <c r="K193" s="57">
        <f t="shared" si="20"/>
        <v>0</v>
      </c>
      <c r="L193" s="57">
        <f t="shared" si="20"/>
        <v>0</v>
      </c>
      <c r="M193" s="57">
        <f t="shared" si="20"/>
        <v>0</v>
      </c>
      <c r="N193" s="57">
        <f t="shared" si="20"/>
        <v>0</v>
      </c>
      <c r="O193" s="57">
        <f t="shared" si="20"/>
        <v>0</v>
      </c>
      <c r="P193" s="57">
        <f t="shared" si="20"/>
        <v>0</v>
      </c>
      <c r="Q193" s="57">
        <f t="shared" si="20"/>
        <v>0</v>
      </c>
      <c r="R193" s="57">
        <f t="shared" si="20"/>
        <v>0</v>
      </c>
      <c r="S193" s="57">
        <f t="shared" si="20"/>
        <v>0</v>
      </c>
      <c r="T193" s="57">
        <f t="shared" si="20"/>
        <v>0</v>
      </c>
      <c r="U193" s="57">
        <f t="shared" si="20"/>
        <v>2</v>
      </c>
      <c r="V193" s="288">
        <f t="shared" si="18"/>
        <v>33</v>
      </c>
      <c r="W193" s="328">
        <f>$V193/$D$158</f>
        <v>5.5462184873949577E-2</v>
      </c>
    </row>
    <row r="195" spans="1:25" ht="15.75" thickBot="1" x14ac:dyDescent="0.3"/>
    <row r="196" spans="1:25" ht="60.75" thickBot="1" x14ac:dyDescent="0.3">
      <c r="A196" s="43" t="s">
        <v>22</v>
      </c>
      <c r="B196" s="43" t="s">
        <v>47</v>
      </c>
      <c r="C196" s="43" t="s">
        <v>52</v>
      </c>
      <c r="D196" s="43" t="s">
        <v>17</v>
      </c>
      <c r="E196" s="42" t="s">
        <v>16</v>
      </c>
      <c r="F196" s="44" t="s">
        <v>1</v>
      </c>
      <c r="G196" s="45" t="s">
        <v>23</v>
      </c>
      <c r="H196" s="76" t="s">
        <v>66</v>
      </c>
      <c r="I196" s="46" t="s">
        <v>67</v>
      </c>
      <c r="J196" s="46" t="s">
        <v>53</v>
      </c>
      <c r="K196" s="46" t="s">
        <v>58</v>
      </c>
      <c r="L196" s="46" t="s">
        <v>54</v>
      </c>
      <c r="M196" s="46" t="s">
        <v>59</v>
      </c>
      <c r="N196" s="46" t="s">
        <v>55</v>
      </c>
      <c r="O196" s="46" t="s">
        <v>60</v>
      </c>
      <c r="P196" s="46" t="s">
        <v>56</v>
      </c>
      <c r="Q196" s="46" t="s">
        <v>63</v>
      </c>
      <c r="R196" s="46" t="s">
        <v>57</v>
      </c>
      <c r="S196" s="46" t="s">
        <v>64</v>
      </c>
      <c r="T196" s="46" t="s">
        <v>115</v>
      </c>
      <c r="U196" s="46" t="s">
        <v>41</v>
      </c>
      <c r="V196" s="46" t="s">
        <v>4</v>
      </c>
      <c r="W196" s="42" t="s">
        <v>2</v>
      </c>
      <c r="X196" s="33" t="s">
        <v>20</v>
      </c>
      <c r="Y196" s="32" t="s">
        <v>6</v>
      </c>
    </row>
    <row r="197" spans="1:25" ht="15.75" thickBot="1" x14ac:dyDescent="0.3">
      <c r="A197" s="73">
        <v>1513805</v>
      </c>
      <c r="B197" s="73" t="s">
        <v>179</v>
      </c>
      <c r="C197" s="317">
        <v>576</v>
      </c>
      <c r="D197" s="317">
        <v>618</v>
      </c>
      <c r="E197" s="317">
        <v>563</v>
      </c>
      <c r="F197" s="318">
        <f>E197/D197</f>
        <v>0.9110032362459547</v>
      </c>
      <c r="G197" s="48">
        <v>45309</v>
      </c>
      <c r="H197" s="82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4"/>
      <c r="T197" s="296"/>
      <c r="U197" s="115"/>
      <c r="V197" s="115"/>
      <c r="W197" s="84"/>
      <c r="X197" s="86" t="s">
        <v>75</v>
      </c>
      <c r="Y197" s="353" t="s">
        <v>70</v>
      </c>
    </row>
    <row r="198" spans="1:25" x14ac:dyDescent="0.25">
      <c r="A198" s="52"/>
      <c r="B198" s="265"/>
      <c r="C198" s="265"/>
      <c r="D198" s="265"/>
      <c r="E198" s="265"/>
      <c r="F198" s="265"/>
      <c r="G198" s="266"/>
      <c r="H198" s="262"/>
      <c r="I198" s="59">
        <v>6</v>
      </c>
      <c r="J198" s="59">
        <v>2</v>
      </c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286">
        <f>SUM(H198,J198,L198,N198,P198,R198,U198,T198)</f>
        <v>2</v>
      </c>
      <c r="W198" s="237">
        <f>$V198/$D$197</f>
        <v>3.2362459546925568E-3</v>
      </c>
      <c r="X198" s="35" t="s">
        <v>18</v>
      </c>
      <c r="Y198" s="260"/>
    </row>
    <row r="199" spans="1:25" x14ac:dyDescent="0.25">
      <c r="A199" s="52"/>
      <c r="B199" s="265"/>
      <c r="C199" s="265"/>
      <c r="D199" s="265"/>
      <c r="E199" s="265"/>
      <c r="F199" s="265"/>
      <c r="G199" s="266"/>
      <c r="H199" s="267">
        <v>21</v>
      </c>
      <c r="I199" s="61"/>
      <c r="J199" s="61">
        <v>2</v>
      </c>
      <c r="K199" s="61"/>
      <c r="L199" s="61"/>
      <c r="M199" s="61"/>
      <c r="N199" s="66"/>
      <c r="O199" s="61"/>
      <c r="P199" s="61"/>
      <c r="Q199" s="61"/>
      <c r="R199" s="61"/>
      <c r="S199" s="61"/>
      <c r="T199" s="61"/>
      <c r="U199" s="61"/>
      <c r="V199" s="268">
        <f>SUM(H199,J199,L199,N199,P199,R199,U199,T199)</f>
        <v>23</v>
      </c>
      <c r="W199" s="238">
        <f>$V199/$D$197</f>
        <v>3.7216828478964403E-2</v>
      </c>
      <c r="X199" s="196" t="s">
        <v>48</v>
      </c>
      <c r="Y199" s="260"/>
    </row>
    <row r="200" spans="1:25" x14ac:dyDescent="0.25">
      <c r="A200" s="52"/>
      <c r="B200" s="265"/>
      <c r="C200" s="265"/>
      <c r="D200" s="265"/>
      <c r="E200" s="265"/>
      <c r="F200" s="265"/>
      <c r="G200" s="266"/>
      <c r="H200" s="267">
        <v>13</v>
      </c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268">
        <f t="shared" ref="V200:V216" si="21">SUM(H200,J200,L200,N200,P200,R200,U200,T200)</f>
        <v>13</v>
      </c>
      <c r="W200" s="238">
        <f t="shared" ref="W200:W216" si="22">$V200/$D$197</f>
        <v>2.1035598705501618E-2</v>
      </c>
      <c r="X200" s="36" t="s">
        <v>15</v>
      </c>
      <c r="Y200" s="282"/>
    </row>
    <row r="201" spans="1:25" x14ac:dyDescent="0.25">
      <c r="A201" s="52"/>
      <c r="B201" s="265"/>
      <c r="C201" s="265"/>
      <c r="D201" s="265"/>
      <c r="E201" s="265"/>
      <c r="F201" s="265"/>
      <c r="G201" s="266"/>
      <c r="H201" s="267"/>
      <c r="I201" s="61"/>
      <c r="J201" s="290"/>
      <c r="K201" s="290"/>
      <c r="L201" s="290"/>
      <c r="M201" s="61"/>
      <c r="N201" s="61"/>
      <c r="O201" s="61"/>
      <c r="P201" s="61"/>
      <c r="Q201" s="61"/>
      <c r="R201" s="61"/>
      <c r="S201" s="61"/>
      <c r="T201" s="61"/>
      <c r="U201" s="61"/>
      <c r="V201" s="268">
        <f t="shared" si="21"/>
        <v>0</v>
      </c>
      <c r="W201" s="238">
        <f t="shared" si="22"/>
        <v>0</v>
      </c>
      <c r="X201" s="338" t="s">
        <v>84</v>
      </c>
      <c r="Y201" s="282"/>
    </row>
    <row r="202" spans="1:25" x14ac:dyDescent="0.25">
      <c r="A202" s="52"/>
      <c r="B202" s="265"/>
      <c r="C202" s="265"/>
      <c r="D202" s="265"/>
      <c r="E202" s="265"/>
      <c r="F202" s="265"/>
      <c r="G202" s="266"/>
      <c r="H202" s="267"/>
      <c r="I202" s="61">
        <v>1</v>
      </c>
      <c r="J202" s="61">
        <v>1</v>
      </c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268">
        <f t="shared" si="21"/>
        <v>1</v>
      </c>
      <c r="W202" s="238">
        <f t="shared" si="22"/>
        <v>1.6181229773462784E-3</v>
      </c>
      <c r="X202" s="36" t="s">
        <v>13</v>
      </c>
      <c r="Y202" s="146"/>
    </row>
    <row r="203" spans="1:25" x14ac:dyDescent="0.25">
      <c r="A203" s="52"/>
      <c r="B203" s="265"/>
      <c r="C203" s="265"/>
      <c r="D203" s="265"/>
      <c r="E203" s="265"/>
      <c r="F203" s="265"/>
      <c r="G203" s="266"/>
      <c r="H203" s="267"/>
      <c r="I203" s="61">
        <v>7</v>
      </c>
      <c r="J203" s="61">
        <v>5</v>
      </c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268">
        <f t="shared" si="21"/>
        <v>5</v>
      </c>
      <c r="W203" s="238">
        <f t="shared" si="22"/>
        <v>8.0906148867313909E-3</v>
      </c>
      <c r="X203" s="36" t="s">
        <v>14</v>
      </c>
      <c r="Y203" s="264"/>
    </row>
    <row r="204" spans="1:25" x14ac:dyDescent="0.25">
      <c r="A204" s="52" t="s">
        <v>157</v>
      </c>
      <c r="B204" s="265"/>
      <c r="C204" s="265"/>
      <c r="D204" s="265"/>
      <c r="E204" s="265"/>
      <c r="F204" s="265"/>
      <c r="G204" s="266"/>
      <c r="H204" s="267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268">
        <f t="shared" si="21"/>
        <v>0</v>
      </c>
      <c r="W204" s="238">
        <f t="shared" si="22"/>
        <v>0</v>
      </c>
      <c r="X204" s="36" t="s">
        <v>7</v>
      </c>
      <c r="Y204" s="264"/>
    </row>
    <row r="205" spans="1:25" x14ac:dyDescent="0.25">
      <c r="A205" s="52"/>
      <c r="B205" s="265"/>
      <c r="C205" s="265"/>
      <c r="D205" s="265"/>
      <c r="E205" s="265"/>
      <c r="F205" s="265"/>
      <c r="G205" s="266"/>
      <c r="H205" s="267"/>
      <c r="I205" s="61">
        <v>1</v>
      </c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268">
        <f t="shared" si="21"/>
        <v>0</v>
      </c>
      <c r="W205" s="238">
        <f t="shared" si="22"/>
        <v>0</v>
      </c>
      <c r="X205" s="36" t="s">
        <v>8</v>
      </c>
      <c r="Y205" s="291"/>
    </row>
    <row r="206" spans="1:25" x14ac:dyDescent="0.25">
      <c r="A206" s="52"/>
      <c r="B206" s="265"/>
      <c r="C206" s="265"/>
      <c r="D206" s="265"/>
      <c r="E206" s="265"/>
      <c r="F206" s="265"/>
      <c r="G206" s="266"/>
      <c r="H206" s="285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268">
        <f t="shared" si="21"/>
        <v>0</v>
      </c>
      <c r="W206" s="238">
        <f t="shared" si="22"/>
        <v>0</v>
      </c>
      <c r="X206" s="36" t="s">
        <v>68</v>
      </c>
      <c r="Y206" s="291"/>
    </row>
    <row r="207" spans="1:25" x14ac:dyDescent="0.25">
      <c r="A207" s="52"/>
      <c r="B207" s="265"/>
      <c r="C207" s="265"/>
      <c r="D207" s="265"/>
      <c r="E207" s="265"/>
      <c r="F207" s="265"/>
      <c r="G207" s="266"/>
      <c r="H207" s="285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268">
        <f t="shared" si="21"/>
        <v>0</v>
      </c>
      <c r="W207" s="238">
        <f t="shared" si="22"/>
        <v>0</v>
      </c>
      <c r="X207" s="36" t="s">
        <v>0</v>
      </c>
      <c r="Y207" s="292"/>
    </row>
    <row r="208" spans="1:25" x14ac:dyDescent="0.25">
      <c r="A208" s="52"/>
      <c r="B208" s="265"/>
      <c r="C208" s="265"/>
      <c r="D208" s="265"/>
      <c r="E208" s="265"/>
      <c r="F208" s="265"/>
      <c r="G208" s="266"/>
      <c r="H208" s="285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268">
        <f t="shared" si="21"/>
        <v>0</v>
      </c>
      <c r="W208" s="238">
        <f t="shared" si="22"/>
        <v>0</v>
      </c>
      <c r="X208" s="36" t="s">
        <v>19</v>
      </c>
      <c r="Y208" s="292"/>
    </row>
    <row r="209" spans="1:25" x14ac:dyDescent="0.25">
      <c r="A209" s="52"/>
      <c r="B209" s="265"/>
      <c r="C209" s="265"/>
      <c r="D209" s="265"/>
      <c r="E209" s="265"/>
      <c r="F209" s="265" t="s">
        <v>100</v>
      </c>
      <c r="G209" s="266"/>
      <c r="H209" s="285"/>
      <c r="I209" s="61">
        <v>5</v>
      </c>
      <c r="J209" s="61">
        <v>2</v>
      </c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268">
        <f t="shared" si="21"/>
        <v>2</v>
      </c>
      <c r="W209" s="238">
        <f t="shared" si="22"/>
        <v>3.2362459546925568E-3</v>
      </c>
      <c r="X209" s="36" t="s">
        <v>3</v>
      </c>
      <c r="Y209" s="292"/>
    </row>
    <row r="210" spans="1:25" x14ac:dyDescent="0.25">
      <c r="A210" s="303"/>
      <c r="B210" s="305"/>
      <c r="C210" s="305"/>
      <c r="D210" s="305"/>
      <c r="E210" s="305"/>
      <c r="F210" s="305"/>
      <c r="G210" s="304"/>
      <c r="H210" s="293"/>
      <c r="I210" s="61">
        <v>8</v>
      </c>
      <c r="J210" s="66"/>
      <c r="K210" s="66"/>
      <c r="L210" s="66"/>
      <c r="M210" s="61"/>
      <c r="N210" s="66"/>
      <c r="O210" s="66"/>
      <c r="P210" s="66"/>
      <c r="Q210" s="66"/>
      <c r="R210" s="66"/>
      <c r="S210" s="66"/>
      <c r="T210" s="66"/>
      <c r="U210" s="66"/>
      <c r="V210" s="268">
        <f t="shared" si="21"/>
        <v>0</v>
      </c>
      <c r="W210" s="238">
        <f t="shared" si="22"/>
        <v>0</v>
      </c>
      <c r="X210" s="36" t="s">
        <v>199</v>
      </c>
      <c r="Y210" s="292"/>
    </row>
    <row r="211" spans="1:25" x14ac:dyDescent="0.25">
      <c r="A211" s="303"/>
      <c r="B211" s="305"/>
      <c r="C211" s="305"/>
      <c r="D211" s="305"/>
      <c r="E211" s="305"/>
      <c r="F211" s="305"/>
      <c r="G211" s="304"/>
      <c r="H211" s="289"/>
      <c r="I211" s="61">
        <v>1</v>
      </c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268">
        <f t="shared" si="21"/>
        <v>0</v>
      </c>
      <c r="W211" s="238">
        <f t="shared" si="22"/>
        <v>0</v>
      </c>
      <c r="X211" s="36" t="s">
        <v>268</v>
      </c>
      <c r="Y211" s="292"/>
    </row>
    <row r="212" spans="1:25" x14ac:dyDescent="0.25">
      <c r="A212" s="52"/>
      <c r="B212" s="265"/>
      <c r="C212" s="265"/>
      <c r="D212" s="265"/>
      <c r="E212" s="265"/>
      <c r="F212" s="265"/>
      <c r="G212" s="56"/>
      <c r="H212" s="276"/>
      <c r="I212" s="276"/>
      <c r="J212" s="61"/>
      <c r="K212" s="61"/>
      <c r="L212" s="61"/>
      <c r="M212" s="276"/>
      <c r="N212" s="61"/>
      <c r="O212" s="61"/>
      <c r="P212" s="61"/>
      <c r="Q212" s="61"/>
      <c r="R212" s="61"/>
      <c r="S212" s="61"/>
      <c r="T212" s="61">
        <v>1</v>
      </c>
      <c r="U212" s="61"/>
      <c r="V212" s="268">
        <f t="shared" si="21"/>
        <v>1</v>
      </c>
      <c r="W212" s="238">
        <f t="shared" si="22"/>
        <v>1.6181229773462784E-3</v>
      </c>
      <c r="X212" s="196" t="s">
        <v>80</v>
      </c>
      <c r="Y212" s="294"/>
    </row>
    <row r="213" spans="1:25" x14ac:dyDescent="0.25">
      <c r="A213" s="52"/>
      <c r="B213" s="265"/>
      <c r="C213" s="265"/>
      <c r="D213" s="265"/>
      <c r="E213" s="265"/>
      <c r="F213" s="265"/>
      <c r="G213" s="56"/>
      <c r="H213" s="276"/>
      <c r="I213" s="61">
        <v>5</v>
      </c>
      <c r="J213" s="61">
        <v>1</v>
      </c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268">
        <f t="shared" si="21"/>
        <v>1</v>
      </c>
      <c r="W213" s="238">
        <f t="shared" si="22"/>
        <v>1.6181229773462784E-3</v>
      </c>
      <c r="X213" s="36" t="s">
        <v>92</v>
      </c>
      <c r="Y213" s="147" t="s">
        <v>269</v>
      </c>
    </row>
    <row r="214" spans="1:25" x14ac:dyDescent="0.25">
      <c r="A214" s="52"/>
      <c r="B214" s="265"/>
      <c r="C214" s="265"/>
      <c r="D214" s="265"/>
      <c r="E214" s="265"/>
      <c r="F214" s="265"/>
      <c r="G214" s="266"/>
      <c r="H214" s="267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268">
        <f t="shared" si="21"/>
        <v>0</v>
      </c>
      <c r="W214" s="238">
        <f t="shared" si="22"/>
        <v>0</v>
      </c>
      <c r="X214" s="197" t="s">
        <v>27</v>
      </c>
      <c r="Y214" s="292"/>
    </row>
    <row r="215" spans="1:25" x14ac:dyDescent="0.25">
      <c r="A215" s="52"/>
      <c r="B215" s="265"/>
      <c r="C215" s="265"/>
      <c r="D215" s="265"/>
      <c r="E215" s="265"/>
      <c r="F215" s="265"/>
      <c r="G215" s="266"/>
      <c r="H215" s="267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268">
        <f t="shared" si="21"/>
        <v>0</v>
      </c>
      <c r="W215" s="238">
        <f t="shared" si="22"/>
        <v>0</v>
      </c>
      <c r="X215" s="36" t="s">
        <v>94</v>
      </c>
      <c r="Y215" s="292"/>
    </row>
    <row r="216" spans="1:25" x14ac:dyDescent="0.25">
      <c r="A216" s="52"/>
      <c r="B216" s="265"/>
      <c r="C216" s="265"/>
      <c r="D216" s="265"/>
      <c r="E216" s="265"/>
      <c r="F216" s="265" t="s">
        <v>100</v>
      </c>
      <c r="G216" s="266"/>
      <c r="H216" s="273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268">
        <f t="shared" si="21"/>
        <v>0</v>
      </c>
      <c r="W216" s="238">
        <f t="shared" si="22"/>
        <v>0</v>
      </c>
      <c r="X216" s="36" t="s">
        <v>160</v>
      </c>
      <c r="Y216" s="291"/>
    </row>
    <row r="217" spans="1:25" ht="15.75" thickBot="1" x14ac:dyDescent="0.3">
      <c r="A217" s="52"/>
      <c r="B217" s="265"/>
      <c r="C217" s="265"/>
      <c r="D217" s="265"/>
      <c r="E217" s="265"/>
      <c r="F217" s="265"/>
      <c r="G217" s="266"/>
      <c r="H217" s="273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>
        <v>2</v>
      </c>
      <c r="V217" s="268">
        <f>SUM(H217,J217,L217,N217,P217,R217,U217,T217)</f>
        <v>2</v>
      </c>
      <c r="W217" s="258">
        <f>$V217/$D$197</f>
        <v>3.2362459546925568E-3</v>
      </c>
      <c r="X217" s="197" t="s">
        <v>9</v>
      </c>
      <c r="Y217" s="292"/>
    </row>
    <row r="218" spans="1:25" ht="15.75" thickBot="1" x14ac:dyDescent="0.3">
      <c r="A218" s="52"/>
      <c r="B218" s="265"/>
      <c r="C218" s="265"/>
      <c r="D218" s="265"/>
      <c r="E218" s="265"/>
      <c r="F218" s="265"/>
      <c r="G218" s="266"/>
      <c r="H218" s="295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296"/>
      <c r="W218" s="166"/>
      <c r="X218" s="74" t="s">
        <v>21</v>
      </c>
      <c r="Y218" s="292"/>
    </row>
    <row r="219" spans="1:25" x14ac:dyDescent="0.25">
      <c r="A219" s="52"/>
      <c r="B219" s="265"/>
      <c r="C219" s="265"/>
      <c r="D219" s="265"/>
      <c r="E219" s="265"/>
      <c r="F219" s="265"/>
      <c r="G219" s="266"/>
      <c r="H219" s="297">
        <v>1</v>
      </c>
      <c r="I219" s="62"/>
      <c r="J219" s="62"/>
      <c r="K219" s="62"/>
      <c r="L219" s="62"/>
      <c r="M219" s="62"/>
      <c r="N219" s="62"/>
      <c r="O219" s="62"/>
      <c r="P219" s="62"/>
      <c r="Q219" s="61"/>
      <c r="R219" s="62"/>
      <c r="S219" s="62"/>
      <c r="T219" s="62"/>
      <c r="U219" s="62"/>
      <c r="V219" s="268">
        <f t="shared" ref="V219:V232" si="23">SUM(H219,J219,L219,N219,P219,R219,U219)</f>
        <v>1</v>
      </c>
      <c r="W219" s="237">
        <f>$V219/$D$197</f>
        <v>1.6181229773462784E-3</v>
      </c>
      <c r="X219" s="341" t="s">
        <v>71</v>
      </c>
      <c r="Y219" s="292"/>
    </row>
    <row r="220" spans="1:25" x14ac:dyDescent="0.25">
      <c r="A220" s="52"/>
      <c r="B220" s="265"/>
      <c r="C220" s="265"/>
      <c r="D220" s="265"/>
      <c r="E220" s="265"/>
      <c r="F220" s="265"/>
      <c r="G220" s="266"/>
      <c r="H220" s="267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268">
        <f t="shared" si="23"/>
        <v>0</v>
      </c>
      <c r="W220" s="238">
        <f>$V220/$D$197</f>
        <v>0</v>
      </c>
      <c r="X220" s="101" t="s">
        <v>26</v>
      </c>
      <c r="Y220" s="146"/>
    </row>
    <row r="221" spans="1:25" x14ac:dyDescent="0.25">
      <c r="A221" s="52"/>
      <c r="B221" s="265"/>
      <c r="C221" s="265"/>
      <c r="D221" s="265"/>
      <c r="E221" s="265"/>
      <c r="F221" s="265"/>
      <c r="G221" s="266"/>
      <c r="H221" s="267">
        <v>1</v>
      </c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268">
        <f t="shared" si="23"/>
        <v>1</v>
      </c>
      <c r="W221" s="238">
        <f t="shared" ref="W221:W230" si="24">$V221/$D$197</f>
        <v>1.6181229773462784E-3</v>
      </c>
      <c r="X221" s="337" t="s">
        <v>172</v>
      </c>
      <c r="Y221" s="146"/>
    </row>
    <row r="222" spans="1:25" x14ac:dyDescent="0.25">
      <c r="A222" s="52"/>
      <c r="B222" s="265"/>
      <c r="C222" s="265"/>
      <c r="D222" s="265"/>
      <c r="E222" s="265"/>
      <c r="F222" s="265"/>
      <c r="G222" s="266"/>
      <c r="H222" s="267">
        <v>1</v>
      </c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268">
        <f t="shared" si="23"/>
        <v>1</v>
      </c>
      <c r="W222" s="238">
        <f t="shared" si="24"/>
        <v>1.6181229773462784E-3</v>
      </c>
      <c r="X222" s="338" t="s">
        <v>25</v>
      </c>
      <c r="Y222" s="291"/>
    </row>
    <row r="223" spans="1:25" x14ac:dyDescent="0.25">
      <c r="A223" s="52"/>
      <c r="B223" s="265"/>
      <c r="C223" s="265"/>
      <c r="D223" s="265"/>
      <c r="E223" s="265"/>
      <c r="F223" s="265" t="s">
        <v>100</v>
      </c>
      <c r="G223" s="266"/>
      <c r="H223" s="267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268">
        <f t="shared" si="23"/>
        <v>0</v>
      </c>
      <c r="W223" s="238">
        <f t="shared" si="24"/>
        <v>0</v>
      </c>
      <c r="X223" s="337" t="s">
        <v>51</v>
      </c>
      <c r="Y223" s="146"/>
    </row>
    <row r="224" spans="1:25" x14ac:dyDescent="0.25">
      <c r="A224" s="52"/>
      <c r="B224" s="265"/>
      <c r="C224" s="265"/>
      <c r="D224" s="265"/>
      <c r="E224" s="265"/>
      <c r="F224" s="265"/>
      <c r="G224" s="266"/>
      <c r="H224" s="267">
        <v>2</v>
      </c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268">
        <f t="shared" si="23"/>
        <v>2</v>
      </c>
      <c r="W224" s="238">
        <f t="shared" si="24"/>
        <v>3.2362459546925568E-3</v>
      </c>
      <c r="X224" s="196" t="s">
        <v>12</v>
      </c>
      <c r="Y224" s="291"/>
    </row>
    <row r="225" spans="1:25" x14ac:dyDescent="0.25">
      <c r="A225" s="52"/>
      <c r="B225" s="265"/>
      <c r="C225" s="265"/>
      <c r="D225" s="265"/>
      <c r="E225" s="265"/>
      <c r="F225" s="265"/>
      <c r="G225" s="266"/>
      <c r="H225" s="267">
        <v>1</v>
      </c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268">
        <f t="shared" si="23"/>
        <v>1</v>
      </c>
      <c r="W225" s="238">
        <f t="shared" si="24"/>
        <v>1.6181229773462784E-3</v>
      </c>
      <c r="X225" s="336" t="s">
        <v>161</v>
      </c>
      <c r="Y225" s="291"/>
    </row>
    <row r="226" spans="1:25" x14ac:dyDescent="0.25">
      <c r="A226" s="52"/>
      <c r="B226" s="265"/>
      <c r="C226" s="265"/>
      <c r="D226" s="265"/>
      <c r="E226" s="265"/>
      <c r="F226" s="265"/>
      <c r="G226" s="266"/>
      <c r="H226" s="267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268">
        <f t="shared" si="23"/>
        <v>0</v>
      </c>
      <c r="W226" s="238">
        <f t="shared" si="24"/>
        <v>0</v>
      </c>
      <c r="X226" s="338" t="s">
        <v>169</v>
      </c>
      <c r="Y226" s="291" t="s">
        <v>270</v>
      </c>
    </row>
    <row r="227" spans="1:25" x14ac:dyDescent="0.25">
      <c r="A227" s="52"/>
      <c r="B227" s="265"/>
      <c r="C227" s="265"/>
      <c r="D227" s="265"/>
      <c r="E227" s="265"/>
      <c r="F227" s="265"/>
      <c r="G227" s="266"/>
      <c r="H227" s="267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268">
        <f t="shared" si="23"/>
        <v>0</v>
      </c>
      <c r="W227" s="238">
        <f t="shared" si="24"/>
        <v>0</v>
      </c>
      <c r="X227" s="338" t="s">
        <v>197</v>
      </c>
      <c r="Y227" s="291"/>
    </row>
    <row r="228" spans="1:25" x14ac:dyDescent="0.25">
      <c r="A228" s="52"/>
      <c r="B228" s="265"/>
      <c r="C228" s="265"/>
      <c r="D228" s="265"/>
      <c r="E228" s="265"/>
      <c r="F228" s="265"/>
      <c r="G228" s="266"/>
      <c r="H228" s="267">
        <v>2</v>
      </c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268">
        <f t="shared" si="23"/>
        <v>2</v>
      </c>
      <c r="W228" s="238">
        <f t="shared" si="24"/>
        <v>3.2362459546925568E-3</v>
      </c>
      <c r="X228" s="338" t="s">
        <v>101</v>
      </c>
      <c r="Y228" s="291"/>
    </row>
    <row r="229" spans="1:25" x14ac:dyDescent="0.25">
      <c r="A229" s="52"/>
      <c r="B229" s="265"/>
      <c r="C229" s="265"/>
      <c r="D229" s="265"/>
      <c r="E229" s="265"/>
      <c r="F229" s="265"/>
      <c r="G229" s="266"/>
      <c r="H229" s="267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268">
        <f t="shared" si="23"/>
        <v>0</v>
      </c>
      <c r="W229" s="238">
        <f t="shared" si="24"/>
        <v>0</v>
      </c>
      <c r="X229" s="196" t="s">
        <v>35</v>
      </c>
      <c r="Y229" s="291"/>
    </row>
    <row r="230" spans="1:25" x14ac:dyDescent="0.25">
      <c r="A230" s="52"/>
      <c r="B230" s="265"/>
      <c r="C230" s="265"/>
      <c r="D230" s="265"/>
      <c r="E230" s="265"/>
      <c r="F230" s="265"/>
      <c r="G230" s="266"/>
      <c r="H230" s="267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268">
        <f t="shared" si="23"/>
        <v>0</v>
      </c>
      <c r="W230" s="238">
        <f t="shared" si="24"/>
        <v>0</v>
      </c>
      <c r="X230" s="196" t="s">
        <v>203</v>
      </c>
      <c r="Y230" s="291"/>
    </row>
    <row r="231" spans="1:25" ht="15.75" thickBot="1" x14ac:dyDescent="0.3">
      <c r="A231" s="155"/>
      <c r="B231" s="156"/>
      <c r="C231" s="156"/>
      <c r="D231" s="156"/>
      <c r="E231" s="156"/>
      <c r="F231" s="156"/>
      <c r="G231" s="266"/>
      <c r="H231" s="267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268">
        <f t="shared" si="23"/>
        <v>0</v>
      </c>
      <c r="W231" s="236">
        <f>$V231/$D$197</f>
        <v>0</v>
      </c>
      <c r="X231" s="38" t="s">
        <v>85</v>
      </c>
      <c r="Y231" s="298"/>
    </row>
    <row r="232" spans="1:25" ht="15.75" thickBot="1" x14ac:dyDescent="0.3">
      <c r="A232" s="41"/>
      <c r="B232" s="41"/>
      <c r="C232" s="41"/>
      <c r="D232" s="41"/>
      <c r="E232" s="41"/>
      <c r="F232" s="41"/>
      <c r="G232" s="47" t="s">
        <v>4</v>
      </c>
      <c r="H232" s="57">
        <f>SUM(H198:H231)</f>
        <v>42</v>
      </c>
      <c r="I232" s="57">
        <f>SUM(I198:I231)</f>
        <v>34</v>
      </c>
      <c r="J232" s="57">
        <f t="shared" ref="J232:U232" si="25">SUM(J198:J231)</f>
        <v>13</v>
      </c>
      <c r="K232" s="57">
        <f t="shared" si="25"/>
        <v>0</v>
      </c>
      <c r="L232" s="57">
        <f t="shared" si="25"/>
        <v>0</v>
      </c>
      <c r="M232" s="57">
        <f t="shared" si="25"/>
        <v>0</v>
      </c>
      <c r="N232" s="57">
        <f t="shared" si="25"/>
        <v>0</v>
      </c>
      <c r="O232" s="57">
        <f t="shared" si="25"/>
        <v>0</v>
      </c>
      <c r="P232" s="57">
        <f t="shared" si="25"/>
        <v>0</v>
      </c>
      <c r="Q232" s="57">
        <f t="shared" si="25"/>
        <v>0</v>
      </c>
      <c r="R232" s="57">
        <f t="shared" si="25"/>
        <v>0</v>
      </c>
      <c r="S232" s="57">
        <f t="shared" si="25"/>
        <v>0</v>
      </c>
      <c r="T232" s="57">
        <f t="shared" si="25"/>
        <v>1</v>
      </c>
      <c r="U232" s="57">
        <f t="shared" si="25"/>
        <v>2</v>
      </c>
      <c r="V232" s="288">
        <f t="shared" si="23"/>
        <v>57</v>
      </c>
      <c r="W232" s="328">
        <f>$V232/$D$197</f>
        <v>9.2233009708737865E-2</v>
      </c>
    </row>
    <row r="234" spans="1:25" ht="15.75" thickBot="1" x14ac:dyDescent="0.3"/>
    <row r="235" spans="1:25" ht="60.75" thickBot="1" x14ac:dyDescent="0.3">
      <c r="A235" s="43" t="s">
        <v>22</v>
      </c>
      <c r="B235" s="43" t="s">
        <v>47</v>
      </c>
      <c r="C235" s="43" t="s">
        <v>52</v>
      </c>
      <c r="D235" s="43" t="s">
        <v>17</v>
      </c>
      <c r="E235" s="42" t="s">
        <v>16</v>
      </c>
      <c r="F235" s="44" t="s">
        <v>1</v>
      </c>
      <c r="G235" s="45" t="s">
        <v>23</v>
      </c>
      <c r="H235" s="76" t="s">
        <v>66</v>
      </c>
      <c r="I235" s="46" t="s">
        <v>67</v>
      </c>
      <c r="J235" s="46" t="s">
        <v>53</v>
      </c>
      <c r="K235" s="46" t="s">
        <v>58</v>
      </c>
      <c r="L235" s="46" t="s">
        <v>54</v>
      </c>
      <c r="M235" s="46" t="s">
        <v>59</v>
      </c>
      <c r="N235" s="46" t="s">
        <v>55</v>
      </c>
      <c r="O235" s="46" t="s">
        <v>60</v>
      </c>
      <c r="P235" s="46" t="s">
        <v>56</v>
      </c>
      <c r="Q235" s="46" t="s">
        <v>63</v>
      </c>
      <c r="R235" s="46" t="s">
        <v>57</v>
      </c>
      <c r="S235" s="46" t="s">
        <v>64</v>
      </c>
      <c r="T235" s="46" t="s">
        <v>115</v>
      </c>
      <c r="U235" s="46" t="s">
        <v>41</v>
      </c>
      <c r="V235" s="46" t="s">
        <v>4</v>
      </c>
      <c r="W235" s="42" t="s">
        <v>2</v>
      </c>
      <c r="X235" s="33" t="s">
        <v>20</v>
      </c>
      <c r="Y235" s="32" t="s">
        <v>6</v>
      </c>
    </row>
    <row r="236" spans="1:25" ht="15.75" thickBot="1" x14ac:dyDescent="0.3">
      <c r="A236" s="73">
        <v>1512675</v>
      </c>
      <c r="B236" s="73" t="s">
        <v>179</v>
      </c>
      <c r="C236" s="317">
        <v>576</v>
      </c>
      <c r="D236" s="317">
        <v>622</v>
      </c>
      <c r="E236" s="317">
        <v>563</v>
      </c>
      <c r="F236" s="318">
        <f>E236/D236</f>
        <v>0.90514469453376201</v>
      </c>
      <c r="G236" s="48">
        <v>45317</v>
      </c>
      <c r="H236" s="82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4"/>
      <c r="T236" s="296"/>
      <c r="U236" s="115"/>
      <c r="V236" s="115"/>
      <c r="W236" s="84"/>
      <c r="X236" s="86" t="s">
        <v>75</v>
      </c>
      <c r="Y236" s="353" t="s">
        <v>191</v>
      </c>
    </row>
    <row r="237" spans="1:25" x14ac:dyDescent="0.25">
      <c r="A237" s="52"/>
      <c r="B237" s="265"/>
      <c r="C237" s="265"/>
      <c r="D237" s="265"/>
      <c r="E237" s="265"/>
      <c r="F237" s="265"/>
      <c r="G237" s="266"/>
      <c r="H237" s="262"/>
      <c r="I237" s="59">
        <v>16</v>
      </c>
      <c r="J237" s="59">
        <v>3</v>
      </c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286">
        <f>SUM(H237,J237,L237,N237,P237,R237,U237,T237)</f>
        <v>3</v>
      </c>
      <c r="W237" s="237">
        <f>$V237/$D$197</f>
        <v>4.8543689320388345E-3</v>
      </c>
      <c r="X237" s="35" t="s">
        <v>18</v>
      </c>
      <c r="Y237" s="260"/>
    </row>
    <row r="238" spans="1:25" x14ac:dyDescent="0.25">
      <c r="A238" s="52"/>
      <c r="B238" s="265"/>
      <c r="C238" s="265"/>
      <c r="D238" s="265"/>
      <c r="E238" s="265"/>
      <c r="F238" s="265"/>
      <c r="G238" s="266"/>
      <c r="H238" s="267">
        <v>4</v>
      </c>
      <c r="I238" s="61"/>
      <c r="J238" s="61"/>
      <c r="K238" s="61"/>
      <c r="L238" s="61"/>
      <c r="M238" s="61"/>
      <c r="N238" s="66"/>
      <c r="O238" s="61"/>
      <c r="P238" s="61"/>
      <c r="Q238" s="61"/>
      <c r="R238" s="61"/>
      <c r="S238" s="61"/>
      <c r="T238" s="61"/>
      <c r="U238" s="61"/>
      <c r="V238" s="268">
        <f>SUM(H238,J238,L238,N238,P238,R238,U238,T238)</f>
        <v>4</v>
      </c>
      <c r="W238" s="238">
        <f>$V238/$D$197</f>
        <v>6.4724919093851136E-3</v>
      </c>
      <c r="X238" s="196" t="s">
        <v>48</v>
      </c>
      <c r="Y238" s="260"/>
    </row>
    <row r="239" spans="1:25" x14ac:dyDescent="0.25">
      <c r="A239" s="52"/>
      <c r="B239" s="265"/>
      <c r="C239" s="265"/>
      <c r="D239" s="265"/>
      <c r="E239" s="265"/>
      <c r="F239" s="265"/>
      <c r="G239" s="266"/>
      <c r="H239" s="267">
        <v>33</v>
      </c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268">
        <f t="shared" ref="V239:V255" si="26">SUM(H239,J239,L239,N239,P239,R239,U239,T239)</f>
        <v>33</v>
      </c>
      <c r="W239" s="238">
        <f t="shared" ref="W239:W255" si="27">$V239/$D$197</f>
        <v>5.3398058252427182E-2</v>
      </c>
      <c r="X239" s="36" t="s">
        <v>15</v>
      </c>
      <c r="Y239" s="282"/>
    </row>
    <row r="240" spans="1:25" x14ac:dyDescent="0.25">
      <c r="A240" s="52"/>
      <c r="B240" s="265"/>
      <c r="C240" s="265"/>
      <c r="D240" s="265"/>
      <c r="E240" s="265"/>
      <c r="F240" s="265"/>
      <c r="G240" s="266"/>
      <c r="H240" s="267"/>
      <c r="I240" s="61"/>
      <c r="J240" s="290"/>
      <c r="K240" s="290"/>
      <c r="L240" s="290"/>
      <c r="M240" s="61"/>
      <c r="N240" s="61"/>
      <c r="O240" s="61"/>
      <c r="P240" s="61"/>
      <c r="Q240" s="61"/>
      <c r="R240" s="61"/>
      <c r="S240" s="61"/>
      <c r="T240" s="61"/>
      <c r="U240" s="61"/>
      <c r="V240" s="268">
        <f t="shared" si="26"/>
        <v>0</v>
      </c>
      <c r="W240" s="238">
        <f t="shared" si="27"/>
        <v>0</v>
      </c>
      <c r="X240" s="338" t="s">
        <v>84</v>
      </c>
      <c r="Y240" s="282"/>
    </row>
    <row r="241" spans="1:25" x14ac:dyDescent="0.25">
      <c r="A241" s="52"/>
      <c r="B241" s="265"/>
      <c r="C241" s="265"/>
      <c r="D241" s="265"/>
      <c r="E241" s="265"/>
      <c r="F241" s="265"/>
      <c r="G241" s="266"/>
      <c r="H241" s="267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268">
        <f t="shared" si="26"/>
        <v>0</v>
      </c>
      <c r="W241" s="238">
        <f t="shared" si="27"/>
        <v>0</v>
      </c>
      <c r="X241" s="36" t="s">
        <v>13</v>
      </c>
      <c r="Y241" s="146"/>
    </row>
    <row r="242" spans="1:25" x14ac:dyDescent="0.25">
      <c r="A242" s="52"/>
      <c r="B242" s="265"/>
      <c r="C242" s="265"/>
      <c r="D242" s="265"/>
      <c r="E242" s="265"/>
      <c r="F242" s="265"/>
      <c r="G242" s="266"/>
      <c r="H242" s="267"/>
      <c r="I242" s="61">
        <v>4</v>
      </c>
      <c r="J242" s="61">
        <v>1</v>
      </c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268">
        <f t="shared" si="26"/>
        <v>1</v>
      </c>
      <c r="W242" s="238">
        <f t="shared" si="27"/>
        <v>1.6181229773462784E-3</v>
      </c>
      <c r="X242" s="36" t="s">
        <v>14</v>
      </c>
      <c r="Y242" s="264"/>
    </row>
    <row r="243" spans="1:25" x14ac:dyDescent="0.25">
      <c r="A243" s="52" t="s">
        <v>157</v>
      </c>
      <c r="B243" s="265"/>
      <c r="C243" s="265"/>
      <c r="D243" s="265"/>
      <c r="E243" s="265"/>
      <c r="F243" s="265"/>
      <c r="G243" s="266"/>
      <c r="H243" s="267"/>
      <c r="I243" s="61"/>
      <c r="J243" s="61">
        <v>1</v>
      </c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268">
        <f t="shared" si="26"/>
        <v>1</v>
      </c>
      <c r="W243" s="238">
        <f t="shared" si="27"/>
        <v>1.6181229773462784E-3</v>
      </c>
      <c r="X243" s="36" t="s">
        <v>7</v>
      </c>
      <c r="Y243" s="264"/>
    </row>
    <row r="244" spans="1:25" x14ac:dyDescent="0.25">
      <c r="A244" s="52"/>
      <c r="B244" s="265"/>
      <c r="C244" s="265"/>
      <c r="D244" s="265"/>
      <c r="E244" s="265"/>
      <c r="F244" s="265"/>
      <c r="G244" s="266"/>
      <c r="H244" s="267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268">
        <f t="shared" si="26"/>
        <v>0</v>
      </c>
      <c r="W244" s="238">
        <f t="shared" si="27"/>
        <v>0</v>
      </c>
      <c r="X244" s="36" t="s">
        <v>8</v>
      </c>
      <c r="Y244" s="291"/>
    </row>
    <row r="245" spans="1:25" x14ac:dyDescent="0.25">
      <c r="A245" s="52"/>
      <c r="B245" s="265"/>
      <c r="C245" s="265"/>
      <c r="D245" s="265"/>
      <c r="E245" s="265"/>
      <c r="F245" s="265"/>
      <c r="G245" s="266"/>
      <c r="H245" s="285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268">
        <f t="shared" si="26"/>
        <v>0</v>
      </c>
      <c r="W245" s="238">
        <f t="shared" si="27"/>
        <v>0</v>
      </c>
      <c r="X245" s="36" t="s">
        <v>68</v>
      </c>
      <c r="Y245" s="291"/>
    </row>
    <row r="246" spans="1:25" x14ac:dyDescent="0.25">
      <c r="A246" s="52"/>
      <c r="B246" s="265"/>
      <c r="C246" s="265"/>
      <c r="D246" s="265"/>
      <c r="E246" s="265"/>
      <c r="F246" s="265"/>
      <c r="G246" s="266"/>
      <c r="H246" s="285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268">
        <f t="shared" si="26"/>
        <v>0</v>
      </c>
      <c r="W246" s="238">
        <f t="shared" si="27"/>
        <v>0</v>
      </c>
      <c r="X246" s="36" t="s">
        <v>0</v>
      </c>
      <c r="Y246" s="292"/>
    </row>
    <row r="247" spans="1:25" x14ac:dyDescent="0.25">
      <c r="A247" s="52"/>
      <c r="B247" s="265"/>
      <c r="C247" s="265"/>
      <c r="D247" s="265"/>
      <c r="E247" s="265"/>
      <c r="F247" s="265"/>
      <c r="G247" s="266"/>
      <c r="H247" s="285"/>
      <c r="I247" s="61">
        <v>1</v>
      </c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268">
        <f t="shared" si="26"/>
        <v>0</v>
      </c>
      <c r="W247" s="238">
        <f t="shared" si="27"/>
        <v>0</v>
      </c>
      <c r="X247" s="36" t="s">
        <v>19</v>
      </c>
      <c r="Y247" s="292"/>
    </row>
    <row r="248" spans="1:25" x14ac:dyDescent="0.25">
      <c r="A248" s="52"/>
      <c r="B248" s="265"/>
      <c r="C248" s="265"/>
      <c r="D248" s="265"/>
      <c r="E248" s="265"/>
      <c r="F248" s="265" t="s">
        <v>100</v>
      </c>
      <c r="G248" s="266"/>
      <c r="H248" s="285"/>
      <c r="I248" s="61">
        <v>2</v>
      </c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>
        <v>1</v>
      </c>
      <c r="V248" s="268">
        <f t="shared" si="26"/>
        <v>1</v>
      </c>
      <c r="W248" s="238">
        <f t="shared" si="27"/>
        <v>1.6181229773462784E-3</v>
      </c>
      <c r="X248" s="36" t="s">
        <v>3</v>
      </c>
      <c r="Y248" s="292"/>
    </row>
    <row r="249" spans="1:25" x14ac:dyDescent="0.25">
      <c r="A249" s="303"/>
      <c r="B249" s="305"/>
      <c r="C249" s="305"/>
      <c r="D249" s="305"/>
      <c r="E249" s="305"/>
      <c r="F249" s="305"/>
      <c r="G249" s="304"/>
      <c r="H249" s="293"/>
      <c r="I249" s="61"/>
      <c r="J249" s="66">
        <v>1</v>
      </c>
      <c r="K249" s="66"/>
      <c r="L249" s="66"/>
      <c r="M249" s="61"/>
      <c r="N249" s="66"/>
      <c r="O249" s="66"/>
      <c r="P249" s="66"/>
      <c r="Q249" s="66"/>
      <c r="R249" s="66"/>
      <c r="S249" s="66"/>
      <c r="T249" s="66"/>
      <c r="U249" s="66"/>
      <c r="V249" s="268">
        <f t="shared" si="26"/>
        <v>1</v>
      </c>
      <c r="W249" s="238">
        <f t="shared" si="27"/>
        <v>1.6181229773462784E-3</v>
      </c>
      <c r="X249" s="36" t="s">
        <v>199</v>
      </c>
      <c r="Y249" s="292"/>
    </row>
    <row r="250" spans="1:25" x14ac:dyDescent="0.25">
      <c r="A250" s="303"/>
      <c r="B250" s="305"/>
      <c r="C250" s="305"/>
      <c r="D250" s="305"/>
      <c r="E250" s="305"/>
      <c r="F250" s="305"/>
      <c r="G250" s="304"/>
      <c r="H250" s="289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268">
        <f t="shared" si="26"/>
        <v>0</v>
      </c>
      <c r="W250" s="238">
        <f t="shared" si="27"/>
        <v>0</v>
      </c>
      <c r="X250" s="36" t="s">
        <v>268</v>
      </c>
      <c r="Y250" s="292"/>
    </row>
    <row r="251" spans="1:25" x14ac:dyDescent="0.25">
      <c r="A251" s="52"/>
      <c r="B251" s="265"/>
      <c r="C251" s="265"/>
      <c r="D251" s="265"/>
      <c r="E251" s="265"/>
      <c r="F251" s="265"/>
      <c r="G251" s="56"/>
      <c r="H251" s="276"/>
      <c r="I251" s="276"/>
      <c r="J251" s="61"/>
      <c r="K251" s="61"/>
      <c r="L251" s="61"/>
      <c r="M251" s="276"/>
      <c r="N251" s="61"/>
      <c r="O251" s="61"/>
      <c r="P251" s="61"/>
      <c r="Q251" s="61"/>
      <c r="R251" s="61"/>
      <c r="S251" s="61"/>
      <c r="T251" s="61"/>
      <c r="U251" s="61"/>
      <c r="V251" s="268">
        <f t="shared" si="26"/>
        <v>0</v>
      </c>
      <c r="W251" s="238">
        <f t="shared" si="27"/>
        <v>0</v>
      </c>
      <c r="X251" s="196" t="s">
        <v>80</v>
      </c>
      <c r="Y251" s="294"/>
    </row>
    <row r="252" spans="1:25" x14ac:dyDescent="0.25">
      <c r="A252" s="52"/>
      <c r="B252" s="265"/>
      <c r="C252" s="265"/>
      <c r="D252" s="265"/>
      <c r="E252" s="265"/>
      <c r="F252" s="265"/>
      <c r="G252" s="56"/>
      <c r="H252" s="276"/>
      <c r="I252" s="61">
        <v>11</v>
      </c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268">
        <f t="shared" si="26"/>
        <v>0</v>
      </c>
      <c r="W252" s="238">
        <f t="shared" si="27"/>
        <v>0</v>
      </c>
      <c r="X252" s="36" t="s">
        <v>92</v>
      </c>
      <c r="Y252" s="147" t="s">
        <v>239</v>
      </c>
    </row>
    <row r="253" spans="1:25" x14ac:dyDescent="0.25">
      <c r="A253" s="52"/>
      <c r="B253" s="265"/>
      <c r="C253" s="265"/>
      <c r="D253" s="265"/>
      <c r="E253" s="265"/>
      <c r="F253" s="265"/>
      <c r="G253" s="266"/>
      <c r="H253" s="267"/>
      <c r="I253" s="61"/>
      <c r="J253" s="61">
        <v>4</v>
      </c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268">
        <f t="shared" si="26"/>
        <v>4</v>
      </c>
      <c r="W253" s="238">
        <f t="shared" si="27"/>
        <v>6.4724919093851136E-3</v>
      </c>
      <c r="X253" s="197" t="s">
        <v>27</v>
      </c>
      <c r="Y253" s="292"/>
    </row>
    <row r="254" spans="1:25" x14ac:dyDescent="0.25">
      <c r="A254" s="52"/>
      <c r="B254" s="265"/>
      <c r="C254" s="265"/>
      <c r="D254" s="265"/>
      <c r="E254" s="265"/>
      <c r="F254" s="265"/>
      <c r="G254" s="266"/>
      <c r="H254" s="267"/>
      <c r="I254" s="61"/>
      <c r="J254" s="61" t="s">
        <v>100</v>
      </c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268">
        <f t="shared" si="26"/>
        <v>0</v>
      </c>
      <c r="W254" s="238">
        <f t="shared" si="27"/>
        <v>0</v>
      </c>
      <c r="X254" s="36" t="s">
        <v>94</v>
      </c>
      <c r="Y254" s="292"/>
    </row>
    <row r="255" spans="1:25" x14ac:dyDescent="0.25">
      <c r="A255" s="52"/>
      <c r="B255" s="265"/>
      <c r="C255" s="265"/>
      <c r="D255" s="265"/>
      <c r="E255" s="265"/>
      <c r="F255" s="265" t="s">
        <v>100</v>
      </c>
      <c r="G255" s="266"/>
      <c r="H255" s="273"/>
      <c r="I255" s="66"/>
      <c r="J255" s="66">
        <v>1</v>
      </c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268">
        <f t="shared" si="26"/>
        <v>1</v>
      </c>
      <c r="W255" s="238">
        <f t="shared" si="27"/>
        <v>1.6181229773462784E-3</v>
      </c>
      <c r="X255" s="36" t="s">
        <v>299</v>
      </c>
      <c r="Y255" s="291"/>
    </row>
    <row r="256" spans="1:25" ht="15.75" thickBot="1" x14ac:dyDescent="0.3">
      <c r="A256" s="52"/>
      <c r="B256" s="265"/>
      <c r="C256" s="265"/>
      <c r="D256" s="265"/>
      <c r="E256" s="265"/>
      <c r="F256" s="265"/>
      <c r="G256" s="266"/>
      <c r="H256" s="273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>
        <v>1</v>
      </c>
      <c r="V256" s="268">
        <f>SUM(H256,J256,L256,N256,P256,R256,U256,T256)</f>
        <v>1</v>
      </c>
      <c r="W256" s="258">
        <f>$V256/$D$197</f>
        <v>1.6181229773462784E-3</v>
      </c>
      <c r="X256" s="197" t="s">
        <v>9</v>
      </c>
      <c r="Y256" s="292"/>
    </row>
    <row r="257" spans="1:25" ht="15.75" thickBot="1" x14ac:dyDescent="0.3">
      <c r="A257" s="52"/>
      <c r="B257" s="265"/>
      <c r="C257" s="265"/>
      <c r="D257" s="265"/>
      <c r="E257" s="265"/>
      <c r="F257" s="265"/>
      <c r="G257" s="266"/>
      <c r="H257" s="295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296"/>
      <c r="W257" s="166"/>
      <c r="X257" s="74" t="s">
        <v>21</v>
      </c>
      <c r="Y257" s="292"/>
    </row>
    <row r="258" spans="1:25" x14ac:dyDescent="0.25">
      <c r="A258" s="52"/>
      <c r="B258" s="265"/>
      <c r="C258" s="265"/>
      <c r="D258" s="265"/>
      <c r="E258" s="265"/>
      <c r="F258" s="265"/>
      <c r="G258" s="266"/>
      <c r="H258" s="297">
        <v>1</v>
      </c>
      <c r="I258" s="62"/>
      <c r="J258" s="62"/>
      <c r="K258" s="62"/>
      <c r="L258" s="62"/>
      <c r="M258" s="62"/>
      <c r="N258" s="62"/>
      <c r="O258" s="62"/>
      <c r="P258" s="62"/>
      <c r="Q258" s="61"/>
      <c r="R258" s="62"/>
      <c r="S258" s="62"/>
      <c r="T258" s="62"/>
      <c r="U258" s="62"/>
      <c r="V258" s="268">
        <f t="shared" ref="V258:V271" si="28">SUM(H258,J258,L258,N258,P258,R258,U258)</f>
        <v>1</v>
      </c>
      <c r="W258" s="237">
        <f>$V258/$D$197</f>
        <v>1.6181229773462784E-3</v>
      </c>
      <c r="X258" s="341" t="s">
        <v>71</v>
      </c>
      <c r="Y258" s="292"/>
    </row>
    <row r="259" spans="1:25" x14ac:dyDescent="0.25">
      <c r="A259" s="52"/>
      <c r="B259" s="265"/>
      <c r="C259" s="265"/>
      <c r="D259" s="265"/>
      <c r="E259" s="265"/>
      <c r="F259" s="265"/>
      <c r="G259" s="266"/>
      <c r="H259" s="267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268">
        <f t="shared" si="28"/>
        <v>0</v>
      </c>
      <c r="W259" s="238">
        <f>$V259/$D$197</f>
        <v>0</v>
      </c>
      <c r="X259" s="101" t="s">
        <v>26</v>
      </c>
      <c r="Y259" s="146"/>
    </row>
    <row r="260" spans="1:25" x14ac:dyDescent="0.25">
      <c r="A260" s="52"/>
      <c r="B260" s="265"/>
      <c r="C260" s="265"/>
      <c r="D260" s="265"/>
      <c r="E260" s="265"/>
      <c r="F260" s="265"/>
      <c r="G260" s="266"/>
      <c r="H260" s="267">
        <v>2</v>
      </c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268">
        <f t="shared" si="28"/>
        <v>2</v>
      </c>
      <c r="W260" s="238">
        <f t="shared" ref="W260:W269" si="29">$V260/$D$197</f>
        <v>3.2362459546925568E-3</v>
      </c>
      <c r="X260" s="337" t="s">
        <v>172</v>
      </c>
      <c r="Y260" s="146"/>
    </row>
    <row r="261" spans="1:25" x14ac:dyDescent="0.25">
      <c r="A261" s="52"/>
      <c r="B261" s="265"/>
      <c r="C261" s="265"/>
      <c r="D261" s="265"/>
      <c r="E261" s="265"/>
      <c r="F261" s="265"/>
      <c r="G261" s="266"/>
      <c r="H261" s="267">
        <v>1</v>
      </c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268">
        <f t="shared" si="28"/>
        <v>1</v>
      </c>
      <c r="W261" s="238">
        <f t="shared" si="29"/>
        <v>1.6181229773462784E-3</v>
      </c>
      <c r="X261" s="338" t="s">
        <v>25</v>
      </c>
      <c r="Y261" s="291"/>
    </row>
    <row r="262" spans="1:25" x14ac:dyDescent="0.25">
      <c r="A262" s="52"/>
      <c r="B262" s="265"/>
      <c r="C262" s="265"/>
      <c r="D262" s="265"/>
      <c r="E262" s="265"/>
      <c r="F262" s="265" t="s">
        <v>100</v>
      </c>
      <c r="G262" s="266"/>
      <c r="H262" s="267">
        <v>1</v>
      </c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268">
        <f t="shared" si="28"/>
        <v>1</v>
      </c>
      <c r="W262" s="238">
        <f t="shared" si="29"/>
        <v>1.6181229773462784E-3</v>
      </c>
      <c r="X262" s="337" t="s">
        <v>51</v>
      </c>
      <c r="Y262" s="146"/>
    </row>
    <row r="263" spans="1:25" x14ac:dyDescent="0.25">
      <c r="A263" s="52"/>
      <c r="B263" s="265"/>
      <c r="C263" s="265"/>
      <c r="D263" s="265"/>
      <c r="E263" s="265"/>
      <c r="F263" s="265"/>
      <c r="G263" s="266"/>
      <c r="H263" s="267">
        <v>3</v>
      </c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268">
        <f t="shared" si="28"/>
        <v>3</v>
      </c>
      <c r="W263" s="238">
        <f t="shared" si="29"/>
        <v>4.8543689320388345E-3</v>
      </c>
      <c r="X263" s="196" t="s">
        <v>12</v>
      </c>
      <c r="Y263" s="291" t="s">
        <v>287</v>
      </c>
    </row>
    <row r="264" spans="1:25" x14ac:dyDescent="0.25">
      <c r="A264" s="52"/>
      <c r="B264" s="265"/>
      <c r="C264" s="265"/>
      <c r="D264" s="265"/>
      <c r="E264" s="265"/>
      <c r="F264" s="265"/>
      <c r="G264" s="266"/>
      <c r="H264" s="267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268">
        <f t="shared" si="28"/>
        <v>0</v>
      </c>
      <c r="W264" s="238">
        <f t="shared" si="29"/>
        <v>0</v>
      </c>
      <c r="X264" s="336" t="s">
        <v>161</v>
      </c>
      <c r="Y264" s="291" t="s">
        <v>288</v>
      </c>
    </row>
    <row r="265" spans="1:25" x14ac:dyDescent="0.25">
      <c r="A265" s="52"/>
      <c r="B265" s="265"/>
      <c r="C265" s="265"/>
      <c r="D265" s="265"/>
      <c r="E265" s="265"/>
      <c r="F265" s="265"/>
      <c r="G265" s="266"/>
      <c r="H265" s="267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268">
        <f t="shared" si="28"/>
        <v>0</v>
      </c>
      <c r="W265" s="238">
        <f t="shared" si="29"/>
        <v>0</v>
      </c>
      <c r="X265" s="338" t="s">
        <v>169</v>
      </c>
      <c r="Y265" s="291" t="s">
        <v>264</v>
      </c>
    </row>
    <row r="266" spans="1:25" x14ac:dyDescent="0.25">
      <c r="A266" s="52"/>
      <c r="B266" s="265"/>
      <c r="C266" s="265"/>
      <c r="D266" s="265"/>
      <c r="E266" s="265"/>
      <c r="F266" s="265"/>
      <c r="G266" s="266"/>
      <c r="H266" s="267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268">
        <f t="shared" si="28"/>
        <v>0</v>
      </c>
      <c r="W266" s="238">
        <f t="shared" si="29"/>
        <v>0</v>
      </c>
      <c r="X266" s="338" t="s">
        <v>197</v>
      </c>
      <c r="Y266" s="291"/>
    </row>
    <row r="267" spans="1:25" x14ac:dyDescent="0.25">
      <c r="A267" s="52"/>
      <c r="B267" s="265"/>
      <c r="C267" s="265"/>
      <c r="D267" s="265"/>
      <c r="E267" s="265"/>
      <c r="F267" s="265"/>
      <c r="G267" s="266"/>
      <c r="H267" s="267">
        <v>1</v>
      </c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268">
        <f t="shared" si="28"/>
        <v>1</v>
      </c>
      <c r="W267" s="238">
        <f t="shared" si="29"/>
        <v>1.6181229773462784E-3</v>
      </c>
      <c r="X267" s="338" t="s">
        <v>101</v>
      </c>
      <c r="Y267" s="291"/>
    </row>
    <row r="268" spans="1:25" x14ac:dyDescent="0.25">
      <c r="A268" s="52"/>
      <c r="B268" s="265"/>
      <c r="C268" s="265"/>
      <c r="D268" s="265"/>
      <c r="E268" s="265"/>
      <c r="F268" s="265"/>
      <c r="G268" s="266"/>
      <c r="H268" s="267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268">
        <f t="shared" si="28"/>
        <v>0</v>
      </c>
      <c r="W268" s="238">
        <f t="shared" si="29"/>
        <v>0</v>
      </c>
      <c r="X268" s="196" t="s">
        <v>35</v>
      </c>
      <c r="Y268" s="291"/>
    </row>
    <row r="269" spans="1:25" x14ac:dyDescent="0.25">
      <c r="A269" s="52"/>
      <c r="B269" s="265"/>
      <c r="C269" s="265"/>
      <c r="D269" s="265"/>
      <c r="E269" s="265"/>
      <c r="F269" s="265"/>
      <c r="G269" s="266"/>
      <c r="H269" s="267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268">
        <f t="shared" si="28"/>
        <v>0</v>
      </c>
      <c r="W269" s="238">
        <f t="shared" si="29"/>
        <v>0</v>
      </c>
      <c r="X269" s="196" t="s">
        <v>203</v>
      </c>
      <c r="Y269" s="291"/>
    </row>
    <row r="270" spans="1:25" ht="15.75" thickBot="1" x14ac:dyDescent="0.3">
      <c r="A270" s="155"/>
      <c r="B270" s="156"/>
      <c r="C270" s="156"/>
      <c r="D270" s="156"/>
      <c r="E270" s="156"/>
      <c r="F270" s="156"/>
      <c r="G270" s="266"/>
      <c r="H270" s="267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268">
        <f t="shared" si="28"/>
        <v>0</v>
      </c>
      <c r="W270" s="236">
        <f>$V270/$D$197</f>
        <v>0</v>
      </c>
      <c r="X270" s="38" t="s">
        <v>85</v>
      </c>
      <c r="Y270" s="298"/>
    </row>
    <row r="271" spans="1:25" ht="15.75" thickBot="1" x14ac:dyDescent="0.3">
      <c r="A271" s="41"/>
      <c r="B271" s="41"/>
      <c r="C271" s="41"/>
      <c r="D271" s="41"/>
      <c r="E271" s="41"/>
      <c r="F271" s="41"/>
      <c r="G271" s="47" t="s">
        <v>4</v>
      </c>
      <c r="H271" s="57">
        <f>SUM(H237:H270)</f>
        <v>46</v>
      </c>
      <c r="I271" s="57">
        <f>SUM(I237:I270)</f>
        <v>34</v>
      </c>
      <c r="J271" s="57">
        <f t="shared" ref="J271:U271" si="30">SUM(J237:J270)</f>
        <v>11</v>
      </c>
      <c r="K271" s="57">
        <f t="shared" si="30"/>
        <v>0</v>
      </c>
      <c r="L271" s="57">
        <f t="shared" si="30"/>
        <v>0</v>
      </c>
      <c r="M271" s="57">
        <f t="shared" si="30"/>
        <v>0</v>
      </c>
      <c r="N271" s="57">
        <f t="shared" si="30"/>
        <v>0</v>
      </c>
      <c r="O271" s="57">
        <f t="shared" si="30"/>
        <v>0</v>
      </c>
      <c r="P271" s="57">
        <f t="shared" si="30"/>
        <v>0</v>
      </c>
      <c r="Q271" s="57">
        <f t="shared" si="30"/>
        <v>0</v>
      </c>
      <c r="R271" s="57">
        <f t="shared" si="30"/>
        <v>0</v>
      </c>
      <c r="S271" s="57">
        <f t="shared" si="30"/>
        <v>0</v>
      </c>
      <c r="T271" s="57">
        <f t="shared" si="30"/>
        <v>0</v>
      </c>
      <c r="U271" s="57">
        <f t="shared" si="30"/>
        <v>2</v>
      </c>
      <c r="V271" s="288">
        <f t="shared" si="28"/>
        <v>59</v>
      </c>
      <c r="W271" s="328">
        <f>$V271/$D$197</f>
        <v>9.5469255663430425E-2</v>
      </c>
    </row>
    <row r="273" spans="1:25" ht="15.75" thickBot="1" x14ac:dyDescent="0.3"/>
    <row r="274" spans="1:25" ht="60.75" thickBot="1" x14ac:dyDescent="0.3">
      <c r="A274" s="43" t="s">
        <v>22</v>
      </c>
      <c r="B274" s="43" t="s">
        <v>47</v>
      </c>
      <c r="C274" s="43" t="s">
        <v>52</v>
      </c>
      <c r="D274" s="43" t="s">
        <v>17</v>
      </c>
      <c r="E274" s="42" t="s">
        <v>16</v>
      </c>
      <c r="F274" s="44" t="s">
        <v>1</v>
      </c>
      <c r="G274" s="45" t="s">
        <v>23</v>
      </c>
      <c r="H274" s="76" t="s">
        <v>66</v>
      </c>
      <c r="I274" s="46" t="s">
        <v>67</v>
      </c>
      <c r="J274" s="46" t="s">
        <v>53</v>
      </c>
      <c r="K274" s="46" t="s">
        <v>58</v>
      </c>
      <c r="L274" s="46" t="s">
        <v>54</v>
      </c>
      <c r="M274" s="46" t="s">
        <v>59</v>
      </c>
      <c r="N274" s="46" t="s">
        <v>55</v>
      </c>
      <c r="O274" s="46" t="s">
        <v>60</v>
      </c>
      <c r="P274" s="46" t="s">
        <v>56</v>
      </c>
      <c r="Q274" s="46" t="s">
        <v>63</v>
      </c>
      <c r="R274" s="46" t="s">
        <v>57</v>
      </c>
      <c r="S274" s="46" t="s">
        <v>64</v>
      </c>
      <c r="T274" s="46" t="s">
        <v>115</v>
      </c>
      <c r="U274" s="46" t="s">
        <v>41</v>
      </c>
      <c r="V274" s="46" t="s">
        <v>4</v>
      </c>
      <c r="W274" s="42" t="s">
        <v>2</v>
      </c>
      <c r="X274" s="33" t="s">
        <v>20</v>
      </c>
      <c r="Y274" s="32" t="s">
        <v>6</v>
      </c>
    </row>
    <row r="275" spans="1:25" ht="15.75" thickBot="1" x14ac:dyDescent="0.3">
      <c r="A275" s="73">
        <v>1513850</v>
      </c>
      <c r="B275" s="73" t="s">
        <v>179</v>
      </c>
      <c r="C275" s="317">
        <v>576</v>
      </c>
      <c r="D275" s="317">
        <v>600</v>
      </c>
      <c r="E275" s="317">
        <v>563</v>
      </c>
      <c r="F275" s="318">
        <f>E275/D275</f>
        <v>0.93833333333333335</v>
      </c>
      <c r="G275" s="48">
        <v>45329</v>
      </c>
      <c r="H275" s="82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4"/>
      <c r="T275" s="296"/>
      <c r="U275" s="115"/>
      <c r="V275" s="115"/>
      <c r="W275" s="84"/>
      <c r="X275" s="86" t="s">
        <v>75</v>
      </c>
      <c r="Y275" s="353" t="s">
        <v>191</v>
      </c>
    </row>
    <row r="276" spans="1:25" x14ac:dyDescent="0.25">
      <c r="A276" s="52"/>
      <c r="B276" s="265"/>
      <c r="C276" s="265"/>
      <c r="D276" s="265"/>
      <c r="E276" s="265"/>
      <c r="F276" s="265"/>
      <c r="G276" s="266"/>
      <c r="H276" s="262"/>
      <c r="I276" s="59">
        <v>3</v>
      </c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286">
        <f>SUM(H276,J276,L276,N276,P276,R276,U276,T276)</f>
        <v>0</v>
      </c>
      <c r="W276" s="237">
        <f>$V276/$D$275</f>
        <v>0</v>
      </c>
      <c r="X276" s="35" t="s">
        <v>18</v>
      </c>
      <c r="Y276" s="260"/>
    </row>
    <row r="277" spans="1:25" x14ac:dyDescent="0.25">
      <c r="A277" s="52"/>
      <c r="B277" s="265"/>
      <c r="C277" s="265"/>
      <c r="D277" s="265"/>
      <c r="E277" s="265"/>
      <c r="F277" s="265"/>
      <c r="G277" s="266"/>
      <c r="H277" s="267">
        <v>8</v>
      </c>
      <c r="I277" s="61"/>
      <c r="J277" s="61"/>
      <c r="K277" s="61"/>
      <c r="L277" s="61"/>
      <c r="M277" s="61"/>
      <c r="N277" s="66"/>
      <c r="O277" s="61"/>
      <c r="P277" s="61"/>
      <c r="Q277" s="61"/>
      <c r="R277" s="61"/>
      <c r="S277" s="61"/>
      <c r="T277" s="61"/>
      <c r="U277" s="61"/>
      <c r="V277" s="268">
        <f>SUM(H277,J277,L277,N277,P277,R277,U277,T277)</f>
        <v>8</v>
      </c>
      <c r="W277" s="238">
        <f>$V277/$D$275</f>
        <v>1.3333333333333334E-2</v>
      </c>
      <c r="X277" s="196" t="s">
        <v>48</v>
      </c>
      <c r="Y277" s="260"/>
    </row>
    <row r="278" spans="1:25" x14ac:dyDescent="0.25">
      <c r="A278" s="52"/>
      <c r="B278" s="265"/>
      <c r="C278" s="265"/>
      <c r="D278" s="265"/>
      <c r="E278" s="265"/>
      <c r="F278" s="265"/>
      <c r="G278" s="266"/>
      <c r="H278" s="267">
        <v>10</v>
      </c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268">
        <f t="shared" ref="V278:V294" si="31">SUM(H278,J278,L278,N278,P278,R278,U278,T278)</f>
        <v>10</v>
      </c>
      <c r="W278" s="238">
        <f t="shared" ref="W278:W294" si="32">$V278/$D$275</f>
        <v>1.6666666666666666E-2</v>
      </c>
      <c r="X278" s="36" t="s">
        <v>15</v>
      </c>
      <c r="Y278" s="282"/>
    </row>
    <row r="279" spans="1:25" x14ac:dyDescent="0.25">
      <c r="A279" s="52"/>
      <c r="B279" s="265"/>
      <c r="C279" s="265"/>
      <c r="D279" s="265"/>
      <c r="E279" s="265"/>
      <c r="F279" s="265"/>
      <c r="G279" s="266"/>
      <c r="H279" s="267"/>
      <c r="I279" s="61"/>
      <c r="J279" s="290"/>
      <c r="K279" s="290"/>
      <c r="L279" s="290"/>
      <c r="M279" s="61"/>
      <c r="N279" s="61"/>
      <c r="O279" s="61"/>
      <c r="P279" s="61"/>
      <c r="Q279" s="61"/>
      <c r="R279" s="61"/>
      <c r="S279" s="61"/>
      <c r="T279" s="61"/>
      <c r="U279" s="61"/>
      <c r="V279" s="268">
        <f t="shared" si="31"/>
        <v>0</v>
      </c>
      <c r="W279" s="238">
        <f t="shared" si="32"/>
        <v>0</v>
      </c>
      <c r="X279" s="338" t="s">
        <v>84</v>
      </c>
      <c r="Y279" s="282"/>
    </row>
    <row r="280" spans="1:25" x14ac:dyDescent="0.25">
      <c r="A280" s="52"/>
      <c r="B280" s="265"/>
      <c r="C280" s="265"/>
      <c r="D280" s="265"/>
      <c r="E280" s="265"/>
      <c r="F280" s="265"/>
      <c r="G280" s="266"/>
      <c r="H280" s="267"/>
      <c r="I280" s="61">
        <v>2</v>
      </c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268">
        <f t="shared" si="31"/>
        <v>0</v>
      </c>
      <c r="W280" s="238">
        <f t="shared" si="32"/>
        <v>0</v>
      </c>
      <c r="X280" s="36" t="s">
        <v>13</v>
      </c>
      <c r="Y280" s="146"/>
    </row>
    <row r="281" spans="1:25" x14ac:dyDescent="0.25">
      <c r="A281" s="52"/>
      <c r="B281" s="265"/>
      <c r="C281" s="265"/>
      <c r="D281" s="265"/>
      <c r="E281" s="265"/>
      <c r="F281" s="265"/>
      <c r="G281" s="266"/>
      <c r="H281" s="267"/>
      <c r="I281" s="61">
        <v>6</v>
      </c>
      <c r="J281" s="61">
        <v>8</v>
      </c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268">
        <f t="shared" si="31"/>
        <v>8</v>
      </c>
      <c r="W281" s="238">
        <f t="shared" si="32"/>
        <v>1.3333333333333334E-2</v>
      </c>
      <c r="X281" s="36" t="s">
        <v>14</v>
      </c>
      <c r="Y281" s="264"/>
    </row>
    <row r="282" spans="1:25" x14ac:dyDescent="0.25">
      <c r="A282" s="52" t="s">
        <v>157</v>
      </c>
      <c r="B282" s="265"/>
      <c r="C282" s="265"/>
      <c r="D282" s="265"/>
      <c r="E282" s="265"/>
      <c r="F282" s="265"/>
      <c r="G282" s="266"/>
      <c r="H282" s="267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268">
        <f t="shared" si="31"/>
        <v>0</v>
      </c>
      <c r="W282" s="238">
        <f t="shared" si="32"/>
        <v>0</v>
      </c>
      <c r="X282" s="36" t="s">
        <v>7</v>
      </c>
      <c r="Y282" s="264"/>
    </row>
    <row r="283" spans="1:25" x14ac:dyDescent="0.25">
      <c r="A283" s="52"/>
      <c r="B283" s="265"/>
      <c r="C283" s="265"/>
      <c r="D283" s="265"/>
      <c r="E283" s="265"/>
      <c r="F283" s="265"/>
      <c r="G283" s="266"/>
      <c r="H283" s="267"/>
      <c r="I283" s="61">
        <v>1</v>
      </c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268">
        <f t="shared" si="31"/>
        <v>0</v>
      </c>
      <c r="W283" s="238">
        <f t="shared" si="32"/>
        <v>0</v>
      </c>
      <c r="X283" s="36" t="s">
        <v>8</v>
      </c>
      <c r="Y283" s="291"/>
    </row>
    <row r="284" spans="1:25" x14ac:dyDescent="0.25">
      <c r="A284" s="52"/>
      <c r="B284" s="265"/>
      <c r="C284" s="265"/>
      <c r="D284" s="265"/>
      <c r="E284" s="265"/>
      <c r="F284" s="265"/>
      <c r="G284" s="266"/>
      <c r="H284" s="285"/>
      <c r="I284" s="61">
        <v>1</v>
      </c>
      <c r="J284" s="61">
        <v>1</v>
      </c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268">
        <f t="shared" si="31"/>
        <v>1</v>
      </c>
      <c r="W284" s="238">
        <f t="shared" si="32"/>
        <v>1.6666666666666668E-3</v>
      </c>
      <c r="X284" s="36" t="s">
        <v>68</v>
      </c>
      <c r="Y284" s="291"/>
    </row>
    <row r="285" spans="1:25" x14ac:dyDescent="0.25">
      <c r="A285" s="52"/>
      <c r="B285" s="265"/>
      <c r="C285" s="265"/>
      <c r="D285" s="265"/>
      <c r="E285" s="265"/>
      <c r="F285" s="265"/>
      <c r="G285" s="266"/>
      <c r="H285" s="285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268">
        <f t="shared" si="31"/>
        <v>0</v>
      </c>
      <c r="W285" s="238">
        <f t="shared" si="32"/>
        <v>0</v>
      </c>
      <c r="X285" s="36" t="s">
        <v>0</v>
      </c>
      <c r="Y285" s="292"/>
    </row>
    <row r="286" spans="1:25" x14ac:dyDescent="0.25">
      <c r="A286" s="52"/>
      <c r="B286" s="265"/>
      <c r="C286" s="265"/>
      <c r="D286" s="265"/>
      <c r="E286" s="265"/>
      <c r="F286" s="265"/>
      <c r="G286" s="266"/>
      <c r="H286" s="285"/>
      <c r="I286" s="61">
        <v>2</v>
      </c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268">
        <f t="shared" si="31"/>
        <v>0</v>
      </c>
      <c r="W286" s="238">
        <f t="shared" si="32"/>
        <v>0</v>
      </c>
      <c r="X286" s="36" t="s">
        <v>19</v>
      </c>
      <c r="Y286" s="292"/>
    </row>
    <row r="287" spans="1:25" x14ac:dyDescent="0.25">
      <c r="A287" s="52"/>
      <c r="B287" s="265"/>
      <c r="C287" s="265"/>
      <c r="D287" s="265"/>
      <c r="E287" s="265"/>
      <c r="F287" s="265" t="s">
        <v>100</v>
      </c>
      <c r="G287" s="266"/>
      <c r="H287" s="285"/>
      <c r="I287" s="61">
        <v>3</v>
      </c>
      <c r="J287" s="61">
        <v>1</v>
      </c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>
        <v>1</v>
      </c>
      <c r="V287" s="268">
        <f t="shared" si="31"/>
        <v>2</v>
      </c>
      <c r="W287" s="238">
        <f t="shared" si="32"/>
        <v>3.3333333333333335E-3</v>
      </c>
      <c r="X287" s="36" t="s">
        <v>3</v>
      </c>
      <c r="Y287" s="292"/>
    </row>
    <row r="288" spans="1:25" x14ac:dyDescent="0.25">
      <c r="A288" s="303"/>
      <c r="B288" s="305"/>
      <c r="C288" s="305"/>
      <c r="D288" s="305"/>
      <c r="E288" s="305"/>
      <c r="F288" s="305"/>
      <c r="G288" s="304"/>
      <c r="H288" s="293"/>
      <c r="I288" s="61"/>
      <c r="J288" s="66"/>
      <c r="K288" s="66"/>
      <c r="L288" s="66"/>
      <c r="M288" s="61"/>
      <c r="N288" s="66"/>
      <c r="O288" s="66"/>
      <c r="P288" s="66"/>
      <c r="Q288" s="66"/>
      <c r="R288" s="66"/>
      <c r="S288" s="66"/>
      <c r="T288" s="66"/>
      <c r="U288" s="66"/>
      <c r="V288" s="268">
        <f t="shared" si="31"/>
        <v>0</v>
      </c>
      <c r="W288" s="238">
        <f t="shared" si="32"/>
        <v>0</v>
      </c>
      <c r="X288" s="36" t="s">
        <v>199</v>
      </c>
      <c r="Y288" s="292"/>
    </row>
    <row r="289" spans="1:25" x14ac:dyDescent="0.25">
      <c r="A289" s="303"/>
      <c r="B289" s="305"/>
      <c r="C289" s="305"/>
      <c r="D289" s="305"/>
      <c r="E289" s="305"/>
      <c r="F289" s="305"/>
      <c r="G289" s="304"/>
      <c r="H289" s="289"/>
      <c r="I289" s="61">
        <v>6</v>
      </c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268">
        <f t="shared" si="31"/>
        <v>0</v>
      </c>
      <c r="W289" s="238">
        <f t="shared" si="32"/>
        <v>0</v>
      </c>
      <c r="X289" s="36" t="s">
        <v>268</v>
      </c>
      <c r="Y289" s="292"/>
    </row>
    <row r="290" spans="1:25" x14ac:dyDescent="0.25">
      <c r="A290" s="52"/>
      <c r="B290" s="265"/>
      <c r="C290" s="265"/>
      <c r="D290" s="265"/>
      <c r="E290" s="265"/>
      <c r="F290" s="265"/>
      <c r="G290" s="56"/>
      <c r="H290" s="276"/>
      <c r="I290" s="276"/>
      <c r="J290" s="61"/>
      <c r="K290" s="61"/>
      <c r="L290" s="61"/>
      <c r="M290" s="276"/>
      <c r="N290" s="61"/>
      <c r="O290" s="61"/>
      <c r="P290" s="61"/>
      <c r="Q290" s="61"/>
      <c r="R290" s="61"/>
      <c r="S290" s="61"/>
      <c r="T290" s="61"/>
      <c r="U290" s="61">
        <v>1</v>
      </c>
      <c r="V290" s="268">
        <f t="shared" si="31"/>
        <v>1</v>
      </c>
      <c r="W290" s="238">
        <f t="shared" si="32"/>
        <v>1.6666666666666668E-3</v>
      </c>
      <c r="X290" s="196" t="s">
        <v>80</v>
      </c>
      <c r="Y290" s="294"/>
    </row>
    <row r="291" spans="1:25" x14ac:dyDescent="0.25">
      <c r="A291" s="52"/>
      <c r="B291" s="265"/>
      <c r="C291" s="265"/>
      <c r="D291" s="265"/>
      <c r="E291" s="265"/>
      <c r="F291" s="265"/>
      <c r="G291" s="56"/>
      <c r="H291" s="276"/>
      <c r="I291" s="61">
        <v>5</v>
      </c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268">
        <f t="shared" si="31"/>
        <v>0</v>
      </c>
      <c r="W291" s="238">
        <f t="shared" si="32"/>
        <v>0</v>
      </c>
      <c r="X291" s="36" t="s">
        <v>92</v>
      </c>
      <c r="Y291" s="147" t="s">
        <v>315</v>
      </c>
    </row>
    <row r="292" spans="1:25" x14ac:dyDescent="0.25">
      <c r="A292" s="52"/>
      <c r="B292" s="265"/>
      <c r="C292" s="265"/>
      <c r="D292" s="265"/>
      <c r="E292" s="265"/>
      <c r="F292" s="265"/>
      <c r="G292" s="266"/>
      <c r="H292" s="267"/>
      <c r="I292" s="61"/>
      <c r="J292" s="61">
        <v>1</v>
      </c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268">
        <f t="shared" si="31"/>
        <v>1</v>
      </c>
      <c r="W292" s="238">
        <f t="shared" si="32"/>
        <v>1.6666666666666668E-3</v>
      </c>
      <c r="X292" s="197" t="s">
        <v>27</v>
      </c>
      <c r="Y292" s="292"/>
    </row>
    <row r="293" spans="1:25" x14ac:dyDescent="0.25">
      <c r="A293" s="52"/>
      <c r="B293" s="265"/>
      <c r="C293" s="265"/>
      <c r="D293" s="265"/>
      <c r="E293" s="265"/>
      <c r="F293" s="265"/>
      <c r="G293" s="266"/>
      <c r="H293" s="267"/>
      <c r="I293" s="61">
        <v>2</v>
      </c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268">
        <f t="shared" si="31"/>
        <v>0</v>
      </c>
      <c r="W293" s="238">
        <f t="shared" si="32"/>
        <v>0</v>
      </c>
      <c r="X293" s="36" t="s">
        <v>12</v>
      </c>
      <c r="Y293" s="292"/>
    </row>
    <row r="294" spans="1:25" x14ac:dyDescent="0.25">
      <c r="A294" s="52"/>
      <c r="B294" s="265"/>
      <c r="C294" s="265"/>
      <c r="D294" s="265"/>
      <c r="E294" s="265"/>
      <c r="F294" s="265" t="s">
        <v>100</v>
      </c>
      <c r="G294" s="266"/>
      <c r="H294" s="273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268">
        <f t="shared" si="31"/>
        <v>0</v>
      </c>
      <c r="W294" s="238">
        <f t="shared" si="32"/>
        <v>0</v>
      </c>
      <c r="X294" s="36" t="s">
        <v>299</v>
      </c>
      <c r="Y294" s="291"/>
    </row>
    <row r="295" spans="1:25" ht="15.75" thickBot="1" x14ac:dyDescent="0.3">
      <c r="A295" s="52"/>
      <c r="B295" s="265"/>
      <c r="C295" s="265"/>
      <c r="D295" s="265"/>
      <c r="E295" s="265"/>
      <c r="F295" s="265"/>
      <c r="G295" s="266"/>
      <c r="H295" s="273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268">
        <f>SUM(H295,J295,L295,N295,P295,R295,U295,T295)</f>
        <v>0</v>
      </c>
      <c r="W295" s="258">
        <f>$V295/$D$275</f>
        <v>0</v>
      </c>
      <c r="X295" s="197" t="s">
        <v>9</v>
      </c>
      <c r="Y295" s="292"/>
    </row>
    <row r="296" spans="1:25" ht="15.75" thickBot="1" x14ac:dyDescent="0.3">
      <c r="A296" s="52"/>
      <c r="B296" s="265"/>
      <c r="C296" s="265"/>
      <c r="D296" s="265"/>
      <c r="E296" s="265"/>
      <c r="F296" s="265"/>
      <c r="G296" s="266"/>
      <c r="H296" s="295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296"/>
      <c r="W296" s="166"/>
      <c r="X296" s="74" t="s">
        <v>21</v>
      </c>
      <c r="Y296" s="292"/>
    </row>
    <row r="297" spans="1:25" x14ac:dyDescent="0.25">
      <c r="A297" s="52"/>
      <c r="B297" s="265"/>
      <c r="C297" s="265"/>
      <c r="D297" s="265"/>
      <c r="E297" s="265"/>
      <c r="F297" s="265"/>
      <c r="G297" s="266"/>
      <c r="H297" s="297"/>
      <c r="I297" s="62"/>
      <c r="J297" s="62"/>
      <c r="K297" s="62"/>
      <c r="L297" s="62"/>
      <c r="M297" s="62"/>
      <c r="N297" s="62"/>
      <c r="O297" s="62"/>
      <c r="P297" s="62"/>
      <c r="Q297" s="61"/>
      <c r="R297" s="62"/>
      <c r="S297" s="62"/>
      <c r="T297" s="62"/>
      <c r="U297" s="62"/>
      <c r="V297" s="268">
        <f t="shared" ref="V297:V310" si="33">SUM(H297,J297,L297,N297,P297,R297,U297)</f>
        <v>0</v>
      </c>
      <c r="W297" s="237">
        <f>$V297/$D$275</f>
        <v>0</v>
      </c>
      <c r="X297" s="341" t="s">
        <v>71</v>
      </c>
      <c r="Y297" s="292"/>
    </row>
    <row r="298" spans="1:25" x14ac:dyDescent="0.25">
      <c r="A298" s="52"/>
      <c r="B298" s="265"/>
      <c r="C298" s="265"/>
      <c r="D298" s="265"/>
      <c r="E298" s="265"/>
      <c r="F298" s="265"/>
      <c r="G298" s="266"/>
      <c r="H298" s="267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268">
        <f t="shared" si="33"/>
        <v>0</v>
      </c>
      <c r="W298" s="238">
        <f>$V298/$D$275</f>
        <v>0</v>
      </c>
      <c r="X298" s="101" t="s">
        <v>26</v>
      </c>
      <c r="Y298" s="146"/>
    </row>
    <row r="299" spans="1:25" x14ac:dyDescent="0.25">
      <c r="A299" s="52"/>
      <c r="B299" s="265"/>
      <c r="C299" s="265"/>
      <c r="D299" s="265"/>
      <c r="E299" s="265"/>
      <c r="F299" s="265"/>
      <c r="G299" s="266"/>
      <c r="H299" s="267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268">
        <f t="shared" si="33"/>
        <v>0</v>
      </c>
      <c r="W299" s="238">
        <f t="shared" ref="W299:W308" si="34">$V299/$D$275</f>
        <v>0</v>
      </c>
      <c r="X299" s="337" t="s">
        <v>172</v>
      </c>
      <c r="Y299" s="146"/>
    </row>
    <row r="300" spans="1:25" x14ac:dyDescent="0.25">
      <c r="A300" s="52"/>
      <c r="B300" s="265"/>
      <c r="C300" s="265"/>
      <c r="D300" s="265"/>
      <c r="E300" s="265"/>
      <c r="F300" s="265"/>
      <c r="G300" s="266"/>
      <c r="H300" s="267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268">
        <f t="shared" si="33"/>
        <v>0</v>
      </c>
      <c r="W300" s="238">
        <f t="shared" si="34"/>
        <v>0</v>
      </c>
      <c r="X300" s="338" t="s">
        <v>25</v>
      </c>
      <c r="Y300" s="291"/>
    </row>
    <row r="301" spans="1:25" x14ac:dyDescent="0.25">
      <c r="A301" s="52"/>
      <c r="B301" s="265"/>
      <c r="C301" s="265"/>
      <c r="D301" s="265"/>
      <c r="E301" s="265"/>
      <c r="F301" s="265" t="s">
        <v>100</v>
      </c>
      <c r="G301" s="266"/>
      <c r="H301" s="267">
        <v>2</v>
      </c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268">
        <f t="shared" si="33"/>
        <v>2</v>
      </c>
      <c r="W301" s="238">
        <f t="shared" si="34"/>
        <v>3.3333333333333335E-3</v>
      </c>
      <c r="X301" s="337" t="s">
        <v>51</v>
      </c>
      <c r="Y301" s="146"/>
    </row>
    <row r="302" spans="1:25" x14ac:dyDescent="0.25">
      <c r="A302" s="52"/>
      <c r="B302" s="265"/>
      <c r="C302" s="265"/>
      <c r="D302" s="265"/>
      <c r="E302" s="265"/>
      <c r="F302" s="265"/>
      <c r="G302" s="266"/>
      <c r="H302" s="267">
        <v>1</v>
      </c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268">
        <f t="shared" si="33"/>
        <v>1</v>
      </c>
      <c r="W302" s="238">
        <f t="shared" si="34"/>
        <v>1.6666666666666668E-3</v>
      </c>
      <c r="X302" s="196" t="s">
        <v>12</v>
      </c>
      <c r="Y302" s="291"/>
    </row>
    <row r="303" spans="1:25" x14ac:dyDescent="0.25">
      <c r="A303" s="52"/>
      <c r="B303" s="265"/>
      <c r="C303" s="265"/>
      <c r="D303" s="265"/>
      <c r="E303" s="265"/>
      <c r="F303" s="265"/>
      <c r="G303" s="266"/>
      <c r="H303" s="267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268">
        <f t="shared" si="33"/>
        <v>0</v>
      </c>
      <c r="W303" s="238">
        <f t="shared" si="34"/>
        <v>0</v>
      </c>
      <c r="X303" s="336" t="s">
        <v>161</v>
      </c>
      <c r="Y303" s="291" t="s">
        <v>220</v>
      </c>
    </row>
    <row r="304" spans="1:25" x14ac:dyDescent="0.25">
      <c r="A304" s="52"/>
      <c r="B304" s="265"/>
      <c r="C304" s="265"/>
      <c r="D304" s="265"/>
      <c r="E304" s="265"/>
      <c r="F304" s="265"/>
      <c r="G304" s="266"/>
      <c r="H304" s="267">
        <v>1</v>
      </c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268">
        <f t="shared" si="33"/>
        <v>1</v>
      </c>
      <c r="W304" s="238">
        <f t="shared" si="34"/>
        <v>1.6666666666666668E-3</v>
      </c>
      <c r="X304" s="338" t="s">
        <v>169</v>
      </c>
      <c r="Y304" s="291" t="s">
        <v>316</v>
      </c>
    </row>
    <row r="305" spans="1:25" x14ac:dyDescent="0.25">
      <c r="A305" s="52"/>
      <c r="B305" s="265"/>
      <c r="C305" s="265"/>
      <c r="D305" s="265"/>
      <c r="E305" s="265"/>
      <c r="F305" s="265"/>
      <c r="G305" s="266"/>
      <c r="H305" s="267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268">
        <f t="shared" si="33"/>
        <v>0</v>
      </c>
      <c r="W305" s="238">
        <f t="shared" si="34"/>
        <v>0</v>
      </c>
      <c r="X305" s="338" t="s">
        <v>197</v>
      </c>
      <c r="Y305" s="291"/>
    </row>
    <row r="306" spans="1:25" x14ac:dyDescent="0.25">
      <c r="A306" s="52"/>
      <c r="B306" s="265"/>
      <c r="C306" s="265"/>
      <c r="D306" s="265"/>
      <c r="E306" s="265"/>
      <c r="F306" s="265"/>
      <c r="G306" s="266"/>
      <c r="H306" s="267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268">
        <f t="shared" si="33"/>
        <v>0</v>
      </c>
      <c r="W306" s="238">
        <f t="shared" si="34"/>
        <v>0</v>
      </c>
      <c r="X306" s="338" t="s">
        <v>101</v>
      </c>
      <c r="Y306" s="291"/>
    </row>
    <row r="307" spans="1:25" x14ac:dyDescent="0.25">
      <c r="A307" s="52"/>
      <c r="B307" s="265"/>
      <c r="C307" s="265"/>
      <c r="D307" s="265"/>
      <c r="E307" s="265"/>
      <c r="F307" s="265"/>
      <c r="G307" s="266"/>
      <c r="H307" s="267">
        <v>2</v>
      </c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268">
        <f t="shared" si="33"/>
        <v>2</v>
      </c>
      <c r="W307" s="238">
        <f t="shared" si="34"/>
        <v>3.3333333333333335E-3</v>
      </c>
      <c r="X307" s="196" t="s">
        <v>35</v>
      </c>
      <c r="Y307" s="291"/>
    </row>
    <row r="308" spans="1:25" x14ac:dyDescent="0.25">
      <c r="A308" s="52"/>
      <c r="B308" s="265"/>
      <c r="C308" s="265"/>
      <c r="D308" s="265"/>
      <c r="E308" s="265"/>
      <c r="F308" s="265"/>
      <c r="G308" s="266"/>
      <c r="H308" s="267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268">
        <f t="shared" si="33"/>
        <v>0</v>
      </c>
      <c r="W308" s="238">
        <f t="shared" si="34"/>
        <v>0</v>
      </c>
      <c r="X308" s="196" t="s">
        <v>203</v>
      </c>
      <c r="Y308" s="291"/>
    </row>
    <row r="309" spans="1:25" ht="15.75" thickBot="1" x14ac:dyDescent="0.3">
      <c r="A309" s="155"/>
      <c r="B309" s="156"/>
      <c r="C309" s="156"/>
      <c r="D309" s="156"/>
      <c r="E309" s="156"/>
      <c r="F309" s="156"/>
      <c r="G309" s="266"/>
      <c r="H309" s="267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268">
        <f t="shared" si="33"/>
        <v>0</v>
      </c>
      <c r="W309" s="236">
        <f>$V309/$D$275</f>
        <v>0</v>
      </c>
      <c r="X309" s="38" t="s">
        <v>85</v>
      </c>
      <c r="Y309" s="298"/>
    </row>
    <row r="310" spans="1:25" ht="15.75" thickBot="1" x14ac:dyDescent="0.3">
      <c r="A310" s="41"/>
      <c r="B310" s="41"/>
      <c r="C310" s="41"/>
      <c r="D310" s="41"/>
      <c r="E310" s="41"/>
      <c r="F310" s="41"/>
      <c r="G310" s="47" t="s">
        <v>4</v>
      </c>
      <c r="H310" s="57">
        <f>SUM(H276:H309)</f>
        <v>24</v>
      </c>
      <c r="I310" s="57">
        <f>SUM(I276:I309)</f>
        <v>31</v>
      </c>
      <c r="J310" s="57">
        <f t="shared" ref="J310:U310" si="35">SUM(J276:J309)</f>
        <v>11</v>
      </c>
      <c r="K310" s="57">
        <f t="shared" si="35"/>
        <v>0</v>
      </c>
      <c r="L310" s="57">
        <f t="shared" si="35"/>
        <v>0</v>
      </c>
      <c r="M310" s="57">
        <f t="shared" si="35"/>
        <v>0</v>
      </c>
      <c r="N310" s="57">
        <f t="shared" si="35"/>
        <v>0</v>
      </c>
      <c r="O310" s="57">
        <f t="shared" si="35"/>
        <v>0</v>
      </c>
      <c r="P310" s="57">
        <f t="shared" si="35"/>
        <v>0</v>
      </c>
      <c r="Q310" s="57">
        <f t="shared" si="35"/>
        <v>0</v>
      </c>
      <c r="R310" s="57">
        <f t="shared" si="35"/>
        <v>0</v>
      </c>
      <c r="S310" s="57">
        <f t="shared" si="35"/>
        <v>0</v>
      </c>
      <c r="T310" s="57">
        <f t="shared" si="35"/>
        <v>0</v>
      </c>
      <c r="U310" s="57">
        <f t="shared" si="35"/>
        <v>2</v>
      </c>
      <c r="V310" s="288">
        <f t="shared" si="33"/>
        <v>37</v>
      </c>
      <c r="W310" s="328">
        <f>$V310/$D$275</f>
        <v>6.1666666666666668E-2</v>
      </c>
    </row>
    <row r="312" spans="1:25" ht="15.75" thickBot="1" x14ac:dyDescent="0.3"/>
    <row r="313" spans="1:25" ht="60.75" thickBot="1" x14ac:dyDescent="0.3">
      <c r="A313" s="43" t="s">
        <v>22</v>
      </c>
      <c r="B313" s="43" t="s">
        <v>47</v>
      </c>
      <c r="C313" s="43" t="s">
        <v>52</v>
      </c>
      <c r="D313" s="43" t="s">
        <v>17</v>
      </c>
      <c r="E313" s="42" t="s">
        <v>16</v>
      </c>
      <c r="F313" s="44" t="s">
        <v>1</v>
      </c>
      <c r="G313" s="45" t="s">
        <v>23</v>
      </c>
      <c r="H313" s="76" t="s">
        <v>66</v>
      </c>
      <c r="I313" s="46" t="s">
        <v>67</v>
      </c>
      <c r="J313" s="46" t="s">
        <v>53</v>
      </c>
      <c r="K313" s="46" t="s">
        <v>58</v>
      </c>
      <c r="L313" s="46" t="s">
        <v>54</v>
      </c>
      <c r="M313" s="46" t="s">
        <v>59</v>
      </c>
      <c r="N313" s="46" t="s">
        <v>55</v>
      </c>
      <c r="O313" s="46" t="s">
        <v>60</v>
      </c>
      <c r="P313" s="46" t="s">
        <v>56</v>
      </c>
      <c r="Q313" s="46" t="s">
        <v>63</v>
      </c>
      <c r="R313" s="46" t="s">
        <v>57</v>
      </c>
      <c r="S313" s="46" t="s">
        <v>64</v>
      </c>
      <c r="T313" s="46" t="s">
        <v>115</v>
      </c>
      <c r="U313" s="46" t="s">
        <v>41</v>
      </c>
      <c r="V313" s="46" t="s">
        <v>4</v>
      </c>
      <c r="W313" s="42" t="s">
        <v>2</v>
      </c>
      <c r="X313" s="33" t="s">
        <v>20</v>
      </c>
      <c r="Y313" s="32" t="s">
        <v>6</v>
      </c>
    </row>
    <row r="314" spans="1:25" ht="15.75" thickBot="1" x14ac:dyDescent="0.3">
      <c r="A314" s="73">
        <v>1514196</v>
      </c>
      <c r="B314" s="73" t="s">
        <v>179</v>
      </c>
      <c r="C314" s="317">
        <v>576</v>
      </c>
      <c r="D314" s="317">
        <v>587</v>
      </c>
      <c r="E314" s="317">
        <v>568</v>
      </c>
      <c r="F314" s="318">
        <f>E314/D314</f>
        <v>0.96763202725724018</v>
      </c>
      <c r="G314" s="48">
        <v>45342</v>
      </c>
      <c r="H314" s="82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4"/>
      <c r="T314" s="296"/>
      <c r="U314" s="115"/>
      <c r="V314" s="115"/>
      <c r="W314" s="84"/>
      <c r="X314" s="86" t="s">
        <v>75</v>
      </c>
      <c r="Y314" s="353" t="s">
        <v>70</v>
      </c>
    </row>
    <row r="315" spans="1:25" x14ac:dyDescent="0.25">
      <c r="A315" s="52"/>
      <c r="B315" s="265"/>
      <c r="C315" s="265"/>
      <c r="D315" s="265"/>
      <c r="E315" s="265"/>
      <c r="F315" s="265"/>
      <c r="G315" s="266"/>
      <c r="H315" s="262"/>
      <c r="I315" s="59">
        <v>8</v>
      </c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286">
        <f>SUM(H315,J315,L315,N315,P315,R315,U315,T315)</f>
        <v>0</v>
      </c>
      <c r="W315" s="237">
        <f>$V315/$D$314</f>
        <v>0</v>
      </c>
      <c r="X315" s="35" t="s">
        <v>18</v>
      </c>
      <c r="Y315" s="260"/>
    </row>
    <row r="316" spans="1:25" x14ac:dyDescent="0.25">
      <c r="A316" s="52"/>
      <c r="B316" s="265"/>
      <c r="C316" s="265"/>
      <c r="D316" s="265"/>
      <c r="E316" s="265"/>
      <c r="F316" s="265"/>
      <c r="G316" s="266"/>
      <c r="H316" s="267"/>
      <c r="I316" s="61"/>
      <c r="J316" s="61"/>
      <c r="K316" s="61"/>
      <c r="L316" s="61"/>
      <c r="M316" s="61"/>
      <c r="N316" s="66"/>
      <c r="O316" s="61"/>
      <c r="P316" s="61"/>
      <c r="Q316" s="61"/>
      <c r="R316" s="61"/>
      <c r="S316" s="61"/>
      <c r="T316" s="61"/>
      <c r="U316" s="61"/>
      <c r="V316" s="268">
        <f>SUM(H316,J316,L316,N316,P316,R316,U316,T316)</f>
        <v>0</v>
      </c>
      <c r="W316" s="238">
        <f>$V316/$D$314</f>
        <v>0</v>
      </c>
      <c r="X316" s="196" t="s">
        <v>48</v>
      </c>
      <c r="Y316" s="260"/>
    </row>
    <row r="317" spans="1:25" x14ac:dyDescent="0.25">
      <c r="A317" s="52"/>
      <c r="B317" s="265"/>
      <c r="C317" s="265"/>
      <c r="D317" s="265"/>
      <c r="E317" s="265"/>
      <c r="F317" s="265"/>
      <c r="G317" s="266"/>
      <c r="H317" s="267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268">
        <f t="shared" ref="V317:V333" si="36">SUM(H317,J317,L317,N317,P317,R317,U317,T317)</f>
        <v>0</v>
      </c>
      <c r="W317" s="238">
        <f t="shared" ref="W317:W333" si="37">$V317/$D$314</f>
        <v>0</v>
      </c>
      <c r="X317" s="36" t="s">
        <v>15</v>
      </c>
      <c r="Y317" s="282"/>
    </row>
    <row r="318" spans="1:25" x14ac:dyDescent="0.25">
      <c r="A318" s="52"/>
      <c r="B318" s="265"/>
      <c r="C318" s="265"/>
      <c r="D318" s="265"/>
      <c r="E318" s="265"/>
      <c r="F318" s="265"/>
      <c r="G318" s="266"/>
      <c r="H318" s="267"/>
      <c r="I318" s="61"/>
      <c r="J318" s="290"/>
      <c r="K318" s="290"/>
      <c r="L318" s="290"/>
      <c r="M318" s="61"/>
      <c r="N318" s="61"/>
      <c r="O318" s="61"/>
      <c r="P318" s="61"/>
      <c r="Q318" s="61"/>
      <c r="R318" s="61"/>
      <c r="S318" s="61"/>
      <c r="T318" s="61"/>
      <c r="U318" s="61"/>
      <c r="V318" s="268">
        <f t="shared" si="36"/>
        <v>0</v>
      </c>
      <c r="W318" s="238">
        <f t="shared" si="37"/>
        <v>0</v>
      </c>
      <c r="X318" s="338" t="s">
        <v>84</v>
      </c>
      <c r="Y318" s="282"/>
    </row>
    <row r="319" spans="1:25" x14ac:dyDescent="0.25">
      <c r="A319" s="52"/>
      <c r="B319" s="265"/>
      <c r="C319" s="265"/>
      <c r="D319" s="265"/>
      <c r="E319" s="265"/>
      <c r="F319" s="265"/>
      <c r="G319" s="266"/>
      <c r="H319" s="267"/>
      <c r="I319" s="61">
        <v>4</v>
      </c>
      <c r="J319" s="61">
        <v>2</v>
      </c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268">
        <f t="shared" si="36"/>
        <v>2</v>
      </c>
      <c r="W319" s="238">
        <f t="shared" si="37"/>
        <v>3.4071550255536627E-3</v>
      </c>
      <c r="X319" s="36" t="s">
        <v>13</v>
      </c>
      <c r="Y319" s="146"/>
    </row>
    <row r="320" spans="1:25" x14ac:dyDescent="0.25">
      <c r="A320" s="52"/>
      <c r="B320" s="265"/>
      <c r="C320" s="265"/>
      <c r="D320" s="265"/>
      <c r="E320" s="265"/>
      <c r="F320" s="265"/>
      <c r="G320" s="266"/>
      <c r="H320" s="267"/>
      <c r="I320" s="61">
        <v>2</v>
      </c>
      <c r="J320" s="61">
        <v>2</v>
      </c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268">
        <f t="shared" si="36"/>
        <v>2</v>
      </c>
      <c r="W320" s="238">
        <f t="shared" si="37"/>
        <v>3.4071550255536627E-3</v>
      </c>
      <c r="X320" s="36" t="s">
        <v>14</v>
      </c>
      <c r="Y320" s="264"/>
    </row>
    <row r="321" spans="1:25" x14ac:dyDescent="0.25">
      <c r="A321" s="52" t="s">
        <v>157</v>
      </c>
      <c r="B321" s="265"/>
      <c r="C321" s="265"/>
      <c r="D321" s="265"/>
      <c r="E321" s="265"/>
      <c r="F321" s="265"/>
      <c r="G321" s="266"/>
      <c r="H321" s="267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268">
        <f t="shared" si="36"/>
        <v>0</v>
      </c>
      <c r="W321" s="238">
        <f t="shared" si="37"/>
        <v>0</v>
      </c>
      <c r="X321" s="36" t="s">
        <v>7</v>
      </c>
      <c r="Y321" s="264"/>
    </row>
    <row r="322" spans="1:25" x14ac:dyDescent="0.25">
      <c r="A322" s="52"/>
      <c r="B322" s="265"/>
      <c r="C322" s="265"/>
      <c r="D322" s="265"/>
      <c r="E322" s="265"/>
      <c r="F322" s="265"/>
      <c r="G322" s="266"/>
      <c r="H322" s="267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268">
        <f t="shared" si="36"/>
        <v>0</v>
      </c>
      <c r="W322" s="238">
        <f t="shared" si="37"/>
        <v>0</v>
      </c>
      <c r="X322" s="36" t="s">
        <v>8</v>
      </c>
      <c r="Y322" s="291"/>
    </row>
    <row r="323" spans="1:25" x14ac:dyDescent="0.25">
      <c r="A323" s="52"/>
      <c r="B323" s="265"/>
      <c r="C323" s="265"/>
      <c r="D323" s="265"/>
      <c r="E323" s="265"/>
      <c r="F323" s="265"/>
      <c r="G323" s="266"/>
      <c r="H323" s="285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268">
        <f t="shared" si="36"/>
        <v>0</v>
      </c>
      <c r="W323" s="238">
        <f t="shared" si="37"/>
        <v>0</v>
      </c>
      <c r="X323" s="36" t="s">
        <v>68</v>
      </c>
      <c r="Y323" s="291"/>
    </row>
    <row r="324" spans="1:25" x14ac:dyDescent="0.25">
      <c r="A324" s="52"/>
      <c r="B324" s="265"/>
      <c r="C324" s="265"/>
      <c r="D324" s="265"/>
      <c r="E324" s="265"/>
      <c r="F324" s="265"/>
      <c r="G324" s="266"/>
      <c r="H324" s="285"/>
      <c r="I324" s="61">
        <v>1</v>
      </c>
      <c r="J324" s="61">
        <v>1</v>
      </c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>
        <v>2</v>
      </c>
      <c r="V324" s="268">
        <f t="shared" si="36"/>
        <v>3</v>
      </c>
      <c r="W324" s="238">
        <f t="shared" si="37"/>
        <v>5.1107325383304937E-3</v>
      </c>
      <c r="X324" s="36" t="s">
        <v>0</v>
      </c>
      <c r="Y324" s="292"/>
    </row>
    <row r="325" spans="1:25" x14ac:dyDescent="0.25">
      <c r="A325" s="52"/>
      <c r="B325" s="265"/>
      <c r="C325" s="265"/>
      <c r="D325" s="265"/>
      <c r="E325" s="265"/>
      <c r="F325" s="265"/>
      <c r="G325" s="266"/>
      <c r="H325" s="285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268">
        <f t="shared" si="36"/>
        <v>0</v>
      </c>
      <c r="W325" s="238">
        <f t="shared" si="37"/>
        <v>0</v>
      </c>
      <c r="X325" s="36" t="s">
        <v>19</v>
      </c>
      <c r="Y325" s="292"/>
    </row>
    <row r="326" spans="1:25" x14ac:dyDescent="0.25">
      <c r="A326" s="52"/>
      <c r="B326" s="265"/>
      <c r="C326" s="265"/>
      <c r="D326" s="265"/>
      <c r="E326" s="265"/>
      <c r="F326" s="265" t="s">
        <v>100</v>
      </c>
      <c r="G326" s="266"/>
      <c r="H326" s="285"/>
      <c r="I326" s="61">
        <v>1</v>
      </c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268">
        <f t="shared" si="36"/>
        <v>0</v>
      </c>
      <c r="W326" s="238">
        <f t="shared" si="37"/>
        <v>0</v>
      </c>
      <c r="X326" s="36" t="s">
        <v>3</v>
      </c>
      <c r="Y326" s="292"/>
    </row>
    <row r="327" spans="1:25" x14ac:dyDescent="0.25">
      <c r="A327" s="303"/>
      <c r="B327" s="305"/>
      <c r="C327" s="305"/>
      <c r="D327" s="305"/>
      <c r="E327" s="305"/>
      <c r="F327" s="305"/>
      <c r="G327" s="304"/>
      <c r="H327" s="293"/>
      <c r="I327" s="61"/>
      <c r="J327" s="66"/>
      <c r="K327" s="66"/>
      <c r="L327" s="66"/>
      <c r="M327" s="61"/>
      <c r="N327" s="66"/>
      <c r="O327" s="66"/>
      <c r="P327" s="66"/>
      <c r="Q327" s="66"/>
      <c r="R327" s="66"/>
      <c r="S327" s="66"/>
      <c r="T327" s="66"/>
      <c r="U327" s="66"/>
      <c r="V327" s="268">
        <f t="shared" si="36"/>
        <v>0</v>
      </c>
      <c r="W327" s="238">
        <f t="shared" si="37"/>
        <v>0</v>
      </c>
      <c r="X327" s="36" t="s">
        <v>199</v>
      </c>
      <c r="Y327" s="292"/>
    </row>
    <row r="328" spans="1:25" x14ac:dyDescent="0.25">
      <c r="A328" s="303"/>
      <c r="B328" s="305"/>
      <c r="C328" s="305"/>
      <c r="D328" s="305"/>
      <c r="E328" s="305"/>
      <c r="F328" s="305"/>
      <c r="G328" s="304"/>
      <c r="H328" s="289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268">
        <f t="shared" si="36"/>
        <v>0</v>
      </c>
      <c r="W328" s="238">
        <f t="shared" si="37"/>
        <v>0</v>
      </c>
      <c r="X328" s="36" t="s">
        <v>268</v>
      </c>
      <c r="Y328" s="292"/>
    </row>
    <row r="329" spans="1:25" x14ac:dyDescent="0.25">
      <c r="A329" s="52"/>
      <c r="B329" s="265"/>
      <c r="C329" s="265"/>
      <c r="D329" s="265"/>
      <c r="E329" s="265"/>
      <c r="F329" s="265"/>
      <c r="G329" s="56"/>
      <c r="H329" s="276"/>
      <c r="I329" s="276"/>
      <c r="J329" s="61"/>
      <c r="K329" s="61"/>
      <c r="L329" s="61"/>
      <c r="M329" s="276"/>
      <c r="N329" s="61"/>
      <c r="O329" s="61"/>
      <c r="P329" s="61"/>
      <c r="Q329" s="61"/>
      <c r="R329" s="61"/>
      <c r="S329" s="61"/>
      <c r="T329" s="61"/>
      <c r="U329" s="61">
        <v>1</v>
      </c>
      <c r="V329" s="268">
        <f t="shared" si="36"/>
        <v>1</v>
      </c>
      <c r="W329" s="238">
        <f t="shared" si="37"/>
        <v>1.7035775127768314E-3</v>
      </c>
      <c r="X329" s="196" t="s">
        <v>80</v>
      </c>
      <c r="Y329" s="294"/>
    </row>
    <row r="330" spans="1:25" x14ac:dyDescent="0.25">
      <c r="A330" s="52"/>
      <c r="B330" s="265"/>
      <c r="C330" s="265"/>
      <c r="D330" s="265"/>
      <c r="E330" s="265"/>
      <c r="F330" s="265"/>
      <c r="G330" s="56"/>
      <c r="H330" s="276"/>
      <c r="I330" s="61">
        <v>4</v>
      </c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268">
        <f t="shared" si="36"/>
        <v>0</v>
      </c>
      <c r="W330" s="238">
        <f t="shared" si="37"/>
        <v>0</v>
      </c>
      <c r="X330" s="36" t="s">
        <v>92</v>
      </c>
      <c r="Y330" s="147" t="s">
        <v>349</v>
      </c>
    </row>
    <row r="331" spans="1:25" x14ac:dyDescent="0.25">
      <c r="A331" s="52"/>
      <c r="B331" s="265"/>
      <c r="C331" s="265"/>
      <c r="D331" s="265"/>
      <c r="E331" s="265"/>
      <c r="F331" s="265"/>
      <c r="G331" s="266"/>
      <c r="H331" s="267"/>
      <c r="I331" s="61">
        <v>1</v>
      </c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268">
        <f t="shared" si="36"/>
        <v>0</v>
      </c>
      <c r="W331" s="238">
        <f t="shared" si="37"/>
        <v>0</v>
      </c>
      <c r="X331" s="197" t="s">
        <v>35</v>
      </c>
      <c r="Y331" s="292"/>
    </row>
    <row r="332" spans="1:25" x14ac:dyDescent="0.25">
      <c r="A332" s="52"/>
      <c r="B332" s="265"/>
      <c r="C332" s="265"/>
      <c r="D332" s="265"/>
      <c r="E332" s="265"/>
      <c r="F332" s="265"/>
      <c r="G332" s="266"/>
      <c r="H332" s="267"/>
      <c r="I332" s="61">
        <v>1</v>
      </c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268">
        <f t="shared" si="36"/>
        <v>0</v>
      </c>
      <c r="W332" s="238">
        <f t="shared" si="37"/>
        <v>0</v>
      </c>
      <c r="X332" s="36" t="s">
        <v>12</v>
      </c>
      <c r="Y332" s="292"/>
    </row>
    <row r="333" spans="1:25" x14ac:dyDescent="0.25">
      <c r="A333" s="52"/>
      <c r="B333" s="265"/>
      <c r="C333" s="265"/>
      <c r="D333" s="265"/>
      <c r="E333" s="265"/>
      <c r="F333" s="265" t="s">
        <v>100</v>
      </c>
      <c r="G333" s="266"/>
      <c r="H333" s="273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268">
        <f t="shared" si="36"/>
        <v>0</v>
      </c>
      <c r="W333" s="238">
        <f t="shared" si="37"/>
        <v>0</v>
      </c>
      <c r="X333" s="36" t="s">
        <v>299</v>
      </c>
      <c r="Y333" s="291"/>
    </row>
    <row r="334" spans="1:25" ht="15.75" thickBot="1" x14ac:dyDescent="0.3">
      <c r="A334" s="52"/>
      <c r="B334" s="265"/>
      <c r="C334" s="265"/>
      <c r="D334" s="265"/>
      <c r="E334" s="265"/>
      <c r="F334" s="265"/>
      <c r="G334" s="266"/>
      <c r="H334" s="273"/>
      <c r="I334" s="66">
        <v>2</v>
      </c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268">
        <f>SUM(H334,J334,L334,N334,P334,R334,U334,T334)</f>
        <v>0</v>
      </c>
      <c r="W334" s="258">
        <f>$V334/$D$314</f>
        <v>0</v>
      </c>
      <c r="X334" s="197" t="s">
        <v>9</v>
      </c>
      <c r="Y334" s="292"/>
    </row>
    <row r="335" spans="1:25" ht="15.75" thickBot="1" x14ac:dyDescent="0.3">
      <c r="A335" s="52"/>
      <c r="B335" s="265"/>
      <c r="C335" s="265"/>
      <c r="D335" s="265"/>
      <c r="E335" s="265"/>
      <c r="F335" s="265"/>
      <c r="G335" s="266"/>
      <c r="H335" s="295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296"/>
      <c r="W335" s="166"/>
      <c r="X335" s="74" t="s">
        <v>21</v>
      </c>
      <c r="Y335" s="292"/>
    </row>
    <row r="336" spans="1:25" x14ac:dyDescent="0.25">
      <c r="A336" s="52"/>
      <c r="B336" s="265"/>
      <c r="C336" s="265"/>
      <c r="D336" s="265"/>
      <c r="E336" s="265"/>
      <c r="F336" s="265"/>
      <c r="G336" s="266"/>
      <c r="H336" s="297">
        <v>2</v>
      </c>
      <c r="I336" s="62"/>
      <c r="J336" s="62"/>
      <c r="K336" s="62"/>
      <c r="L336" s="62"/>
      <c r="M336" s="62"/>
      <c r="N336" s="62"/>
      <c r="O336" s="62"/>
      <c r="P336" s="62"/>
      <c r="Q336" s="61"/>
      <c r="R336" s="62"/>
      <c r="S336" s="62"/>
      <c r="T336" s="62"/>
      <c r="U336" s="62"/>
      <c r="V336" s="268">
        <f t="shared" ref="V336:V349" si="38">SUM(H336,J336,L336,N336,P336,R336,U336)</f>
        <v>2</v>
      </c>
      <c r="W336" s="237">
        <f>$V336/$D$314</f>
        <v>3.4071550255536627E-3</v>
      </c>
      <c r="X336" s="341" t="s">
        <v>71</v>
      </c>
      <c r="Y336" s="292"/>
    </row>
    <row r="337" spans="1:25" x14ac:dyDescent="0.25">
      <c r="A337" s="52"/>
      <c r="B337" s="265"/>
      <c r="C337" s="265"/>
      <c r="D337" s="265"/>
      <c r="E337" s="265"/>
      <c r="F337" s="265"/>
      <c r="G337" s="266"/>
      <c r="H337" s="267">
        <v>2</v>
      </c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268">
        <f t="shared" si="38"/>
        <v>2</v>
      </c>
      <c r="W337" s="238">
        <f>$V337/$D$314</f>
        <v>3.4071550255536627E-3</v>
      </c>
      <c r="X337" s="101" t="s">
        <v>26</v>
      </c>
      <c r="Y337" s="146"/>
    </row>
    <row r="338" spans="1:25" x14ac:dyDescent="0.25">
      <c r="A338" s="52"/>
      <c r="B338" s="265"/>
      <c r="C338" s="265"/>
      <c r="D338" s="265"/>
      <c r="E338" s="265"/>
      <c r="F338" s="265"/>
      <c r="G338" s="266"/>
      <c r="H338" s="267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268">
        <f t="shared" si="38"/>
        <v>0</v>
      </c>
      <c r="W338" s="238">
        <f t="shared" ref="W338:W347" si="39">$V338/$D$314</f>
        <v>0</v>
      </c>
      <c r="X338" s="337" t="s">
        <v>172</v>
      </c>
      <c r="Y338" s="146"/>
    </row>
    <row r="339" spans="1:25" x14ac:dyDescent="0.25">
      <c r="A339" s="52"/>
      <c r="B339" s="265"/>
      <c r="C339" s="265"/>
      <c r="D339" s="265"/>
      <c r="E339" s="265"/>
      <c r="F339" s="265"/>
      <c r="G339" s="266"/>
      <c r="H339" s="267">
        <v>1</v>
      </c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268">
        <f t="shared" si="38"/>
        <v>1</v>
      </c>
      <c r="W339" s="238">
        <f t="shared" si="39"/>
        <v>1.7035775127768314E-3</v>
      </c>
      <c r="X339" s="338" t="s">
        <v>25</v>
      </c>
      <c r="Y339" s="291"/>
    </row>
    <row r="340" spans="1:25" x14ac:dyDescent="0.25">
      <c r="A340" s="52"/>
      <c r="B340" s="265"/>
      <c r="C340" s="265"/>
      <c r="D340" s="265"/>
      <c r="E340" s="265"/>
      <c r="F340" s="265" t="s">
        <v>100</v>
      </c>
      <c r="G340" s="266"/>
      <c r="H340" s="267">
        <v>1</v>
      </c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268">
        <f t="shared" si="38"/>
        <v>1</v>
      </c>
      <c r="W340" s="238">
        <f t="shared" si="39"/>
        <v>1.7035775127768314E-3</v>
      </c>
      <c r="X340" s="337" t="s">
        <v>51</v>
      </c>
      <c r="Y340" s="146"/>
    </row>
    <row r="341" spans="1:25" x14ac:dyDescent="0.25">
      <c r="A341" s="52"/>
      <c r="B341" s="265"/>
      <c r="C341" s="265"/>
      <c r="D341" s="265"/>
      <c r="E341" s="265"/>
      <c r="F341" s="265"/>
      <c r="G341" s="266"/>
      <c r="H341" s="267">
        <v>3</v>
      </c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268">
        <f t="shared" si="38"/>
        <v>3</v>
      </c>
      <c r="W341" s="238">
        <f t="shared" si="39"/>
        <v>5.1107325383304937E-3</v>
      </c>
      <c r="X341" s="196" t="s">
        <v>12</v>
      </c>
      <c r="Y341" s="291" t="s">
        <v>228</v>
      </c>
    </row>
    <row r="342" spans="1:25" x14ac:dyDescent="0.25">
      <c r="A342" s="52"/>
      <c r="B342" s="265"/>
      <c r="C342" s="265"/>
      <c r="D342" s="265"/>
      <c r="E342" s="265"/>
      <c r="F342" s="265"/>
      <c r="G342" s="266"/>
      <c r="H342" s="267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268">
        <f t="shared" si="38"/>
        <v>0</v>
      </c>
      <c r="W342" s="238">
        <f t="shared" si="39"/>
        <v>0</v>
      </c>
      <c r="X342" s="336" t="s">
        <v>161</v>
      </c>
      <c r="Y342" s="291" t="s">
        <v>350</v>
      </c>
    </row>
    <row r="343" spans="1:25" x14ac:dyDescent="0.25">
      <c r="A343" s="52"/>
      <c r="B343" s="265"/>
      <c r="C343" s="265"/>
      <c r="D343" s="265"/>
      <c r="E343" s="265"/>
      <c r="F343" s="265"/>
      <c r="G343" s="266"/>
      <c r="H343" s="267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268">
        <f t="shared" si="38"/>
        <v>0</v>
      </c>
      <c r="W343" s="238">
        <f t="shared" si="39"/>
        <v>0</v>
      </c>
      <c r="X343" s="338" t="s">
        <v>169</v>
      </c>
      <c r="Y343" s="291" t="s">
        <v>100</v>
      </c>
    </row>
    <row r="344" spans="1:25" x14ac:dyDescent="0.25">
      <c r="A344" s="52"/>
      <c r="B344" s="265"/>
      <c r="C344" s="265"/>
      <c r="D344" s="265"/>
      <c r="E344" s="265"/>
      <c r="F344" s="265"/>
      <c r="G344" s="266"/>
      <c r="H344" s="267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268">
        <f t="shared" si="38"/>
        <v>0</v>
      </c>
      <c r="W344" s="238">
        <f t="shared" si="39"/>
        <v>0</v>
      </c>
      <c r="X344" s="338" t="s">
        <v>197</v>
      </c>
      <c r="Y344" s="291"/>
    </row>
    <row r="345" spans="1:25" x14ac:dyDescent="0.25">
      <c r="A345" s="52"/>
      <c r="B345" s="265"/>
      <c r="C345" s="265"/>
      <c r="D345" s="265"/>
      <c r="E345" s="265"/>
      <c r="F345" s="265"/>
      <c r="G345" s="266"/>
      <c r="H345" s="267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268">
        <f t="shared" si="38"/>
        <v>0</v>
      </c>
      <c r="W345" s="238">
        <f t="shared" si="39"/>
        <v>0</v>
      </c>
      <c r="X345" s="338" t="s">
        <v>101</v>
      </c>
      <c r="Y345" s="291"/>
    </row>
    <row r="346" spans="1:25" x14ac:dyDescent="0.25">
      <c r="A346" s="52"/>
      <c r="B346" s="265"/>
      <c r="C346" s="265"/>
      <c r="D346" s="265"/>
      <c r="E346" s="265"/>
      <c r="F346" s="265"/>
      <c r="G346" s="266"/>
      <c r="H346" s="267">
        <v>2</v>
      </c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268">
        <f t="shared" si="38"/>
        <v>2</v>
      </c>
      <c r="W346" s="238">
        <f t="shared" si="39"/>
        <v>3.4071550255536627E-3</v>
      </c>
      <c r="X346" s="196" t="s">
        <v>35</v>
      </c>
      <c r="Y346" s="291"/>
    </row>
    <row r="347" spans="1:25" x14ac:dyDescent="0.25">
      <c r="A347" s="52"/>
      <c r="B347" s="265"/>
      <c r="C347" s="265"/>
      <c r="D347" s="265"/>
      <c r="E347" s="265"/>
      <c r="F347" s="265"/>
      <c r="G347" s="266"/>
      <c r="H347" s="267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268">
        <f t="shared" si="38"/>
        <v>0</v>
      </c>
      <c r="W347" s="238">
        <f t="shared" si="39"/>
        <v>0</v>
      </c>
      <c r="X347" s="196" t="s">
        <v>203</v>
      </c>
      <c r="Y347" s="291"/>
    </row>
    <row r="348" spans="1:25" ht="15.75" thickBot="1" x14ac:dyDescent="0.3">
      <c r="A348" s="155"/>
      <c r="B348" s="156"/>
      <c r="C348" s="156"/>
      <c r="D348" s="156"/>
      <c r="E348" s="156"/>
      <c r="F348" s="156"/>
      <c r="G348" s="266"/>
      <c r="H348" s="267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268">
        <f t="shared" si="38"/>
        <v>0</v>
      </c>
      <c r="W348" s="236">
        <f>$V348/$D$314</f>
        <v>0</v>
      </c>
      <c r="X348" s="38" t="s">
        <v>85</v>
      </c>
      <c r="Y348" s="298"/>
    </row>
    <row r="349" spans="1:25" ht="15.75" thickBot="1" x14ac:dyDescent="0.3">
      <c r="A349" s="41"/>
      <c r="B349" s="41"/>
      <c r="C349" s="41"/>
      <c r="D349" s="41"/>
      <c r="E349" s="41"/>
      <c r="F349" s="41"/>
      <c r="G349" s="47" t="s">
        <v>4</v>
      </c>
      <c r="H349" s="57">
        <f>SUM(H315:H348)</f>
        <v>11</v>
      </c>
      <c r="I349" s="57">
        <f>SUM(I315:I348)</f>
        <v>24</v>
      </c>
      <c r="J349" s="57">
        <f t="shared" ref="J349:U349" si="40">SUM(J315:J348)</f>
        <v>5</v>
      </c>
      <c r="K349" s="57">
        <f t="shared" si="40"/>
        <v>0</v>
      </c>
      <c r="L349" s="57">
        <f t="shared" si="40"/>
        <v>0</v>
      </c>
      <c r="M349" s="57">
        <f t="shared" si="40"/>
        <v>0</v>
      </c>
      <c r="N349" s="57">
        <f t="shared" si="40"/>
        <v>0</v>
      </c>
      <c r="O349" s="57">
        <f t="shared" si="40"/>
        <v>0</v>
      </c>
      <c r="P349" s="57">
        <f t="shared" si="40"/>
        <v>0</v>
      </c>
      <c r="Q349" s="57">
        <f t="shared" si="40"/>
        <v>0</v>
      </c>
      <c r="R349" s="57">
        <f t="shared" si="40"/>
        <v>0</v>
      </c>
      <c r="S349" s="57">
        <f t="shared" si="40"/>
        <v>0</v>
      </c>
      <c r="T349" s="57">
        <f t="shared" si="40"/>
        <v>0</v>
      </c>
      <c r="U349" s="57">
        <f t="shared" si="40"/>
        <v>3</v>
      </c>
      <c r="V349" s="288">
        <f t="shared" si="38"/>
        <v>19</v>
      </c>
      <c r="W349" s="328">
        <f>$V349/$D$314</f>
        <v>3.2367972742759793E-2</v>
      </c>
    </row>
    <row r="351" spans="1:25" ht="15.75" thickBot="1" x14ac:dyDescent="0.3"/>
    <row r="352" spans="1:25" ht="60.75" thickBot="1" x14ac:dyDescent="0.3">
      <c r="A352" s="43" t="s">
        <v>22</v>
      </c>
      <c r="B352" s="43" t="s">
        <v>47</v>
      </c>
      <c r="C352" s="43" t="s">
        <v>52</v>
      </c>
      <c r="D352" s="43" t="s">
        <v>17</v>
      </c>
      <c r="E352" s="42" t="s">
        <v>16</v>
      </c>
      <c r="F352" s="44" t="s">
        <v>1</v>
      </c>
      <c r="G352" s="45" t="s">
        <v>23</v>
      </c>
      <c r="H352" s="76" t="s">
        <v>66</v>
      </c>
      <c r="I352" s="46" t="s">
        <v>67</v>
      </c>
      <c r="J352" s="46" t="s">
        <v>53</v>
      </c>
      <c r="K352" s="46" t="s">
        <v>58</v>
      </c>
      <c r="L352" s="46" t="s">
        <v>54</v>
      </c>
      <c r="M352" s="46" t="s">
        <v>59</v>
      </c>
      <c r="N352" s="46" t="s">
        <v>55</v>
      </c>
      <c r="O352" s="46" t="s">
        <v>60</v>
      </c>
      <c r="P352" s="46" t="s">
        <v>56</v>
      </c>
      <c r="Q352" s="46" t="s">
        <v>63</v>
      </c>
      <c r="R352" s="46" t="s">
        <v>57</v>
      </c>
      <c r="S352" s="46" t="s">
        <v>64</v>
      </c>
      <c r="T352" s="46" t="s">
        <v>115</v>
      </c>
      <c r="U352" s="46" t="s">
        <v>41</v>
      </c>
      <c r="V352" s="46" t="s">
        <v>4</v>
      </c>
      <c r="W352" s="42" t="s">
        <v>2</v>
      </c>
      <c r="X352" s="33" t="s">
        <v>20</v>
      </c>
      <c r="Y352" s="32" t="s">
        <v>6</v>
      </c>
    </row>
    <row r="353" spans="1:25" ht="15.75" thickBot="1" x14ac:dyDescent="0.3">
      <c r="A353" s="73">
        <v>1516779</v>
      </c>
      <c r="B353" s="73" t="s">
        <v>179</v>
      </c>
      <c r="C353" s="317">
        <v>576</v>
      </c>
      <c r="D353" s="317">
        <v>590</v>
      </c>
      <c r="E353" s="317">
        <v>570</v>
      </c>
      <c r="F353" s="318">
        <f>E353/D353</f>
        <v>0.96610169491525422</v>
      </c>
      <c r="G353" s="48">
        <v>45352</v>
      </c>
      <c r="H353" s="82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4"/>
      <c r="T353" s="296"/>
      <c r="U353" s="115"/>
      <c r="V353" s="115"/>
      <c r="W353" s="84"/>
      <c r="X353" s="86" t="s">
        <v>75</v>
      </c>
      <c r="Y353" s="353" t="s">
        <v>70</v>
      </c>
    </row>
    <row r="354" spans="1:25" x14ac:dyDescent="0.25">
      <c r="A354" s="52"/>
      <c r="B354" s="265"/>
      <c r="C354" s="265"/>
      <c r="D354" s="265"/>
      <c r="E354" s="265"/>
      <c r="F354" s="265"/>
      <c r="G354" s="266"/>
      <c r="H354" s="262"/>
      <c r="I354" s="59">
        <v>19</v>
      </c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286">
        <f>SUM(H354,J354,L354,N354,P354,R354,U354,T354)</f>
        <v>0</v>
      </c>
      <c r="W354" s="237">
        <f>$V354/$D$353</f>
        <v>0</v>
      </c>
      <c r="X354" s="35" t="s">
        <v>18</v>
      </c>
      <c r="Y354" s="260"/>
    </row>
    <row r="355" spans="1:25" x14ac:dyDescent="0.25">
      <c r="A355" s="52"/>
      <c r="B355" s="265"/>
      <c r="C355" s="265"/>
      <c r="D355" s="265"/>
      <c r="E355" s="265"/>
      <c r="F355" s="265"/>
      <c r="G355" s="266"/>
      <c r="H355" s="267">
        <v>4</v>
      </c>
      <c r="I355" s="61"/>
      <c r="J355" s="61"/>
      <c r="K355" s="61"/>
      <c r="L355" s="61"/>
      <c r="M355" s="61"/>
      <c r="N355" s="66"/>
      <c r="O355" s="61"/>
      <c r="P355" s="61"/>
      <c r="Q355" s="61"/>
      <c r="R355" s="61"/>
      <c r="S355" s="61"/>
      <c r="T355" s="61"/>
      <c r="U355" s="61"/>
      <c r="V355" s="268">
        <f>SUM(H355,J355,L355,N355,P355,R355,U355,T355)</f>
        <v>4</v>
      </c>
      <c r="W355" s="238">
        <f>$V355/$D$353</f>
        <v>6.7796610169491523E-3</v>
      </c>
      <c r="X355" s="196" t="s">
        <v>48</v>
      </c>
      <c r="Y355" s="260"/>
    </row>
    <row r="356" spans="1:25" x14ac:dyDescent="0.25">
      <c r="A356" s="52"/>
      <c r="B356" s="265"/>
      <c r="C356" s="265"/>
      <c r="D356" s="265"/>
      <c r="E356" s="265"/>
      <c r="F356" s="265"/>
      <c r="G356" s="266"/>
      <c r="H356" s="267">
        <v>3</v>
      </c>
      <c r="I356" s="61"/>
      <c r="J356" s="61">
        <v>1</v>
      </c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268">
        <f t="shared" ref="V356:V372" si="41">SUM(H356,J356,L356,N356,P356,R356,U356,T356)</f>
        <v>4</v>
      </c>
      <c r="W356" s="238">
        <f t="shared" ref="W356:W372" si="42">$V356/$D$353</f>
        <v>6.7796610169491523E-3</v>
      </c>
      <c r="X356" s="36" t="s">
        <v>15</v>
      </c>
      <c r="Y356" s="282"/>
    </row>
    <row r="357" spans="1:25" x14ac:dyDescent="0.25">
      <c r="A357" s="52"/>
      <c r="B357" s="265"/>
      <c r="C357" s="265"/>
      <c r="D357" s="265"/>
      <c r="E357" s="265"/>
      <c r="F357" s="265"/>
      <c r="G357" s="266"/>
      <c r="H357" s="267"/>
      <c r="I357" s="61"/>
      <c r="J357" s="290"/>
      <c r="K357" s="290"/>
      <c r="L357" s="290"/>
      <c r="M357" s="61"/>
      <c r="N357" s="61"/>
      <c r="O357" s="61"/>
      <c r="P357" s="61"/>
      <c r="Q357" s="61"/>
      <c r="R357" s="61"/>
      <c r="S357" s="61"/>
      <c r="T357" s="61"/>
      <c r="U357" s="61"/>
      <c r="V357" s="268">
        <f t="shared" si="41"/>
        <v>0</v>
      </c>
      <c r="W357" s="238">
        <f t="shared" si="42"/>
        <v>0</v>
      </c>
      <c r="X357" s="338" t="s">
        <v>84</v>
      </c>
      <c r="Y357" s="282"/>
    </row>
    <row r="358" spans="1:25" x14ac:dyDescent="0.25">
      <c r="A358" s="52"/>
      <c r="B358" s="265"/>
      <c r="C358" s="265"/>
      <c r="D358" s="265"/>
      <c r="E358" s="265"/>
      <c r="F358" s="265"/>
      <c r="G358" s="266"/>
      <c r="H358" s="267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268">
        <f t="shared" si="41"/>
        <v>0</v>
      </c>
      <c r="W358" s="238">
        <f t="shared" si="42"/>
        <v>0</v>
      </c>
      <c r="X358" s="36" t="s">
        <v>13</v>
      </c>
      <c r="Y358" s="146"/>
    </row>
    <row r="359" spans="1:25" x14ac:dyDescent="0.25">
      <c r="A359" s="52"/>
      <c r="B359" s="265"/>
      <c r="C359" s="265"/>
      <c r="D359" s="265"/>
      <c r="E359" s="265"/>
      <c r="F359" s="265"/>
      <c r="G359" s="266"/>
      <c r="H359" s="267"/>
      <c r="I359" s="61">
        <v>5</v>
      </c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268">
        <f t="shared" si="41"/>
        <v>0</v>
      </c>
      <c r="W359" s="238">
        <f t="shared" si="42"/>
        <v>0</v>
      </c>
      <c r="X359" s="36" t="s">
        <v>14</v>
      </c>
      <c r="Y359" s="264"/>
    </row>
    <row r="360" spans="1:25" x14ac:dyDescent="0.25">
      <c r="A360" s="52" t="s">
        <v>157</v>
      </c>
      <c r="B360" s="265"/>
      <c r="C360" s="265"/>
      <c r="D360" s="265"/>
      <c r="E360" s="265"/>
      <c r="F360" s="265"/>
      <c r="G360" s="266"/>
      <c r="H360" s="267"/>
      <c r="I360" s="61">
        <v>2</v>
      </c>
      <c r="J360" s="61">
        <v>1</v>
      </c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268">
        <f t="shared" si="41"/>
        <v>1</v>
      </c>
      <c r="W360" s="238">
        <f t="shared" si="42"/>
        <v>1.6949152542372881E-3</v>
      </c>
      <c r="X360" s="36" t="s">
        <v>7</v>
      </c>
      <c r="Y360" s="264"/>
    </row>
    <row r="361" spans="1:25" x14ac:dyDescent="0.25">
      <c r="A361" s="52"/>
      <c r="B361" s="265"/>
      <c r="C361" s="265"/>
      <c r="D361" s="265"/>
      <c r="E361" s="265"/>
      <c r="F361" s="265"/>
      <c r="G361" s="266"/>
      <c r="H361" s="267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268">
        <f t="shared" si="41"/>
        <v>0</v>
      </c>
      <c r="W361" s="238">
        <f t="shared" si="42"/>
        <v>0</v>
      </c>
      <c r="X361" s="36" t="s">
        <v>8</v>
      </c>
      <c r="Y361" s="291"/>
    </row>
    <row r="362" spans="1:25" x14ac:dyDescent="0.25">
      <c r="A362" s="52"/>
      <c r="B362" s="265"/>
      <c r="C362" s="265"/>
      <c r="D362" s="265"/>
      <c r="E362" s="265"/>
      <c r="F362" s="265"/>
      <c r="G362" s="266"/>
      <c r="H362" s="285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268">
        <f t="shared" si="41"/>
        <v>0</v>
      </c>
      <c r="W362" s="238">
        <f t="shared" si="42"/>
        <v>0</v>
      </c>
      <c r="X362" s="36" t="s">
        <v>68</v>
      </c>
      <c r="Y362" s="291"/>
    </row>
    <row r="363" spans="1:25" x14ac:dyDescent="0.25">
      <c r="A363" s="52"/>
      <c r="B363" s="265"/>
      <c r="C363" s="265"/>
      <c r="D363" s="265"/>
      <c r="E363" s="265"/>
      <c r="F363" s="265"/>
      <c r="G363" s="266"/>
      <c r="H363" s="285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>
        <v>1</v>
      </c>
      <c r="V363" s="268">
        <f t="shared" si="41"/>
        <v>1</v>
      </c>
      <c r="W363" s="238">
        <f t="shared" si="42"/>
        <v>1.6949152542372881E-3</v>
      </c>
      <c r="X363" s="36" t="s">
        <v>0</v>
      </c>
      <c r="Y363" s="292"/>
    </row>
    <row r="364" spans="1:25" x14ac:dyDescent="0.25">
      <c r="A364" s="52"/>
      <c r="B364" s="265"/>
      <c r="C364" s="265"/>
      <c r="D364" s="265"/>
      <c r="E364" s="265"/>
      <c r="F364" s="265"/>
      <c r="G364" s="266"/>
      <c r="H364" s="285"/>
      <c r="I364" s="61">
        <v>2</v>
      </c>
      <c r="J364" s="61">
        <v>1</v>
      </c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268">
        <f t="shared" si="41"/>
        <v>1</v>
      </c>
      <c r="W364" s="238">
        <f t="shared" si="42"/>
        <v>1.6949152542372881E-3</v>
      </c>
      <c r="X364" s="36" t="s">
        <v>19</v>
      </c>
      <c r="Y364" s="292"/>
    </row>
    <row r="365" spans="1:25" x14ac:dyDescent="0.25">
      <c r="A365" s="52"/>
      <c r="B365" s="265"/>
      <c r="C365" s="265"/>
      <c r="D365" s="265"/>
      <c r="E365" s="265"/>
      <c r="F365" s="265" t="s">
        <v>100</v>
      </c>
      <c r="G365" s="266"/>
      <c r="H365" s="285"/>
      <c r="I365" s="61"/>
      <c r="J365" s="61">
        <v>1</v>
      </c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>
        <v>1</v>
      </c>
      <c r="V365" s="268">
        <f t="shared" si="41"/>
        <v>2</v>
      </c>
      <c r="W365" s="238">
        <f t="shared" si="42"/>
        <v>3.3898305084745762E-3</v>
      </c>
      <c r="X365" s="36" t="s">
        <v>3</v>
      </c>
      <c r="Y365" s="292"/>
    </row>
    <row r="366" spans="1:25" x14ac:dyDescent="0.25">
      <c r="A366" s="303"/>
      <c r="B366" s="305"/>
      <c r="C366" s="305"/>
      <c r="D366" s="305"/>
      <c r="E366" s="305"/>
      <c r="F366" s="305"/>
      <c r="G366" s="304"/>
      <c r="H366" s="293"/>
      <c r="I366" s="61"/>
      <c r="J366" s="66">
        <v>1</v>
      </c>
      <c r="K366" s="66"/>
      <c r="L366" s="66"/>
      <c r="M366" s="61"/>
      <c r="N366" s="66"/>
      <c r="O366" s="66"/>
      <c r="P366" s="66"/>
      <c r="Q366" s="66"/>
      <c r="R366" s="66"/>
      <c r="S366" s="66"/>
      <c r="T366" s="66"/>
      <c r="U366" s="66"/>
      <c r="V366" s="268">
        <f t="shared" si="41"/>
        <v>1</v>
      </c>
      <c r="W366" s="238">
        <f t="shared" si="42"/>
        <v>1.6949152542372881E-3</v>
      </c>
      <c r="X366" s="36" t="s">
        <v>199</v>
      </c>
      <c r="Y366" s="292"/>
    </row>
    <row r="367" spans="1:25" x14ac:dyDescent="0.25">
      <c r="A367" s="303"/>
      <c r="B367" s="305"/>
      <c r="C367" s="305"/>
      <c r="D367" s="305"/>
      <c r="E367" s="305"/>
      <c r="F367" s="305"/>
      <c r="G367" s="304"/>
      <c r="H367" s="289"/>
      <c r="I367" s="61">
        <v>1</v>
      </c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268">
        <f t="shared" si="41"/>
        <v>0</v>
      </c>
      <c r="W367" s="238">
        <f t="shared" si="42"/>
        <v>0</v>
      </c>
      <c r="X367" s="36" t="s">
        <v>268</v>
      </c>
      <c r="Y367" s="292"/>
    </row>
    <row r="368" spans="1:25" x14ac:dyDescent="0.25">
      <c r="A368" s="52"/>
      <c r="B368" s="265"/>
      <c r="C368" s="265"/>
      <c r="D368" s="265"/>
      <c r="E368" s="265"/>
      <c r="F368" s="265"/>
      <c r="G368" s="56"/>
      <c r="H368" s="276"/>
      <c r="I368" s="276">
        <v>2</v>
      </c>
      <c r="J368" s="61"/>
      <c r="K368" s="61"/>
      <c r="L368" s="61"/>
      <c r="M368" s="276"/>
      <c r="N368" s="61"/>
      <c r="O368" s="61"/>
      <c r="P368" s="61"/>
      <c r="Q368" s="61"/>
      <c r="R368" s="61"/>
      <c r="S368" s="61"/>
      <c r="T368" s="61"/>
      <c r="U368" s="61"/>
      <c r="V368" s="268">
        <f t="shared" si="41"/>
        <v>0</v>
      </c>
      <c r="W368" s="238">
        <f t="shared" si="42"/>
        <v>0</v>
      </c>
      <c r="X368" s="196" t="s">
        <v>80</v>
      </c>
      <c r="Y368" s="294"/>
    </row>
    <row r="369" spans="1:25" x14ac:dyDescent="0.25">
      <c r="A369" s="52"/>
      <c r="B369" s="265"/>
      <c r="C369" s="265"/>
      <c r="D369" s="265"/>
      <c r="E369" s="265"/>
      <c r="F369" s="265"/>
      <c r="G369" s="56"/>
      <c r="H369" s="276"/>
      <c r="I369" s="61">
        <v>12</v>
      </c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268">
        <f t="shared" si="41"/>
        <v>0</v>
      </c>
      <c r="W369" s="238">
        <f t="shared" si="42"/>
        <v>0</v>
      </c>
      <c r="X369" s="36" t="s">
        <v>92</v>
      </c>
      <c r="Y369" s="147" t="s">
        <v>238</v>
      </c>
    </row>
    <row r="370" spans="1:25" x14ac:dyDescent="0.25">
      <c r="A370" s="52"/>
      <c r="B370" s="265"/>
      <c r="C370" s="265"/>
      <c r="D370" s="265"/>
      <c r="E370" s="265"/>
      <c r="F370" s="265"/>
      <c r="G370" s="266"/>
      <c r="H370" s="267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268">
        <f t="shared" si="41"/>
        <v>0</v>
      </c>
      <c r="W370" s="238">
        <f t="shared" si="42"/>
        <v>0</v>
      </c>
      <c r="X370" s="197" t="s">
        <v>35</v>
      </c>
      <c r="Y370" s="292"/>
    </row>
    <row r="371" spans="1:25" x14ac:dyDescent="0.25">
      <c r="A371" s="52"/>
      <c r="B371" s="265"/>
      <c r="C371" s="265"/>
      <c r="D371" s="265"/>
      <c r="E371" s="265"/>
      <c r="F371" s="265"/>
      <c r="G371" s="266"/>
      <c r="H371" s="267"/>
      <c r="I371" s="61">
        <v>1</v>
      </c>
      <c r="J371" s="61">
        <v>1</v>
      </c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268">
        <f t="shared" si="41"/>
        <v>1</v>
      </c>
      <c r="W371" s="238">
        <f t="shared" si="42"/>
        <v>1.6949152542372881E-3</v>
      </c>
      <c r="X371" s="36" t="s">
        <v>12</v>
      </c>
      <c r="Y371" s="292"/>
    </row>
    <row r="372" spans="1:25" x14ac:dyDescent="0.25">
      <c r="A372" s="52"/>
      <c r="B372" s="265"/>
      <c r="C372" s="265"/>
      <c r="D372" s="265"/>
      <c r="E372" s="265"/>
      <c r="F372" s="265" t="s">
        <v>100</v>
      </c>
      <c r="G372" s="266"/>
      <c r="H372" s="273"/>
      <c r="I372" s="66">
        <v>1</v>
      </c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268">
        <f t="shared" si="41"/>
        <v>0</v>
      </c>
      <c r="W372" s="238">
        <f t="shared" si="42"/>
        <v>0</v>
      </c>
      <c r="X372" s="36" t="s">
        <v>373</v>
      </c>
      <c r="Y372" s="291"/>
    </row>
    <row r="373" spans="1:25" ht="15.75" thickBot="1" x14ac:dyDescent="0.3">
      <c r="A373" s="52"/>
      <c r="B373" s="265"/>
      <c r="C373" s="265"/>
      <c r="D373" s="265"/>
      <c r="E373" s="265"/>
      <c r="F373" s="265"/>
      <c r="G373" s="266"/>
      <c r="H373" s="273"/>
      <c r="I373" s="66">
        <v>1</v>
      </c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268">
        <f>SUM(H373,J373,L373,N373,P373,R373,U373,T373)</f>
        <v>0</v>
      </c>
      <c r="W373" s="258">
        <f>$V373/$D$353</f>
        <v>0</v>
      </c>
      <c r="X373" s="197" t="s">
        <v>9</v>
      </c>
      <c r="Y373" s="292"/>
    </row>
    <row r="374" spans="1:25" ht="15.75" thickBot="1" x14ac:dyDescent="0.3">
      <c r="A374" s="52"/>
      <c r="B374" s="265"/>
      <c r="C374" s="265"/>
      <c r="D374" s="265"/>
      <c r="E374" s="265"/>
      <c r="F374" s="265"/>
      <c r="G374" s="266"/>
      <c r="H374" s="295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296"/>
      <c r="W374" s="166"/>
      <c r="X374" s="74" t="s">
        <v>21</v>
      </c>
      <c r="Y374" s="292"/>
    </row>
    <row r="375" spans="1:25" x14ac:dyDescent="0.25">
      <c r="A375" s="52"/>
      <c r="B375" s="265"/>
      <c r="C375" s="265"/>
      <c r="D375" s="265"/>
      <c r="E375" s="265"/>
      <c r="F375" s="265"/>
      <c r="G375" s="266"/>
      <c r="H375" s="297">
        <v>1</v>
      </c>
      <c r="I375" s="62"/>
      <c r="J375" s="62"/>
      <c r="K375" s="62"/>
      <c r="L375" s="62"/>
      <c r="M375" s="62"/>
      <c r="N375" s="62"/>
      <c r="O375" s="62"/>
      <c r="P375" s="62"/>
      <c r="Q375" s="61"/>
      <c r="R375" s="62"/>
      <c r="S375" s="62"/>
      <c r="T375" s="62"/>
      <c r="U375" s="62"/>
      <c r="V375" s="268">
        <f t="shared" ref="V375:V388" si="43">SUM(H375,J375,L375,N375,P375,R375,U375)</f>
        <v>1</v>
      </c>
      <c r="W375" s="237">
        <f>$V375/$D$353</f>
        <v>1.6949152542372881E-3</v>
      </c>
      <c r="X375" s="341" t="s">
        <v>71</v>
      </c>
      <c r="Y375" s="292"/>
    </row>
    <row r="376" spans="1:25" x14ac:dyDescent="0.25">
      <c r="A376" s="52"/>
      <c r="B376" s="265"/>
      <c r="C376" s="265"/>
      <c r="D376" s="265"/>
      <c r="E376" s="265"/>
      <c r="F376" s="265"/>
      <c r="G376" s="266"/>
      <c r="H376" s="267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268">
        <f t="shared" si="43"/>
        <v>0</v>
      </c>
      <c r="W376" s="238">
        <f>$V376/$D$353</f>
        <v>0</v>
      </c>
      <c r="X376" s="101" t="s">
        <v>26</v>
      </c>
      <c r="Y376" s="146"/>
    </row>
    <row r="377" spans="1:25" x14ac:dyDescent="0.25">
      <c r="A377" s="52"/>
      <c r="B377" s="265"/>
      <c r="C377" s="265"/>
      <c r="D377" s="265"/>
      <c r="E377" s="265"/>
      <c r="F377" s="265"/>
      <c r="G377" s="266"/>
      <c r="H377" s="267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268">
        <f t="shared" si="43"/>
        <v>0</v>
      </c>
      <c r="W377" s="238">
        <f t="shared" ref="W377:W386" si="44">$V377/$D$353</f>
        <v>0</v>
      </c>
      <c r="X377" s="337" t="s">
        <v>172</v>
      </c>
      <c r="Y377" s="146"/>
    </row>
    <row r="378" spans="1:25" x14ac:dyDescent="0.25">
      <c r="A378" s="52"/>
      <c r="B378" s="265"/>
      <c r="C378" s="265"/>
      <c r="D378" s="265"/>
      <c r="E378" s="265"/>
      <c r="F378" s="265"/>
      <c r="G378" s="266"/>
      <c r="H378" s="267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268">
        <f t="shared" si="43"/>
        <v>0</v>
      </c>
      <c r="W378" s="238">
        <f t="shared" si="44"/>
        <v>0</v>
      </c>
      <c r="X378" s="338" t="s">
        <v>25</v>
      </c>
      <c r="Y378" s="291"/>
    </row>
    <row r="379" spans="1:25" x14ac:dyDescent="0.25">
      <c r="A379" s="52"/>
      <c r="B379" s="265"/>
      <c r="C379" s="265"/>
      <c r="D379" s="265"/>
      <c r="E379" s="265"/>
      <c r="F379" s="265" t="s">
        <v>100</v>
      </c>
      <c r="G379" s="266"/>
      <c r="H379" s="267">
        <v>2</v>
      </c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268">
        <f t="shared" si="43"/>
        <v>2</v>
      </c>
      <c r="W379" s="238">
        <f t="shared" si="44"/>
        <v>3.3898305084745762E-3</v>
      </c>
      <c r="X379" s="337" t="s">
        <v>51</v>
      </c>
      <c r="Y379" s="146"/>
    </row>
    <row r="380" spans="1:25" x14ac:dyDescent="0.25">
      <c r="A380" s="52"/>
      <c r="B380" s="265"/>
      <c r="C380" s="265"/>
      <c r="D380" s="265"/>
      <c r="E380" s="265"/>
      <c r="F380" s="265"/>
      <c r="G380" s="266"/>
      <c r="H380" s="267">
        <v>2</v>
      </c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268">
        <f t="shared" si="43"/>
        <v>2</v>
      </c>
      <c r="W380" s="238">
        <f t="shared" si="44"/>
        <v>3.3898305084745762E-3</v>
      </c>
      <c r="X380" s="196" t="s">
        <v>12</v>
      </c>
      <c r="Y380" s="291"/>
    </row>
    <row r="381" spans="1:25" x14ac:dyDescent="0.25">
      <c r="A381" s="52"/>
      <c r="B381" s="265"/>
      <c r="C381" s="265"/>
      <c r="D381" s="265"/>
      <c r="E381" s="265"/>
      <c r="F381" s="265"/>
      <c r="G381" s="266"/>
      <c r="H381" s="267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268">
        <f t="shared" si="43"/>
        <v>0</v>
      </c>
      <c r="W381" s="238">
        <f t="shared" si="44"/>
        <v>0</v>
      </c>
      <c r="X381" s="336" t="s">
        <v>161</v>
      </c>
      <c r="Y381" s="291"/>
    </row>
    <row r="382" spans="1:25" x14ac:dyDescent="0.25">
      <c r="A382" s="52"/>
      <c r="B382" s="265"/>
      <c r="C382" s="265"/>
      <c r="D382" s="265"/>
      <c r="E382" s="265"/>
      <c r="F382" s="265"/>
      <c r="G382" s="266"/>
      <c r="H382" s="267">
        <v>1</v>
      </c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268">
        <f t="shared" si="43"/>
        <v>1</v>
      </c>
      <c r="W382" s="238">
        <f t="shared" si="44"/>
        <v>1.6949152542372881E-3</v>
      </c>
      <c r="X382" s="338" t="s">
        <v>169</v>
      </c>
      <c r="Y382" s="291"/>
    </row>
    <row r="383" spans="1:25" x14ac:dyDescent="0.25">
      <c r="A383" s="52"/>
      <c r="B383" s="265"/>
      <c r="C383" s="265"/>
      <c r="D383" s="265"/>
      <c r="E383" s="265"/>
      <c r="F383" s="265"/>
      <c r="G383" s="266"/>
      <c r="H383" s="267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268">
        <f t="shared" si="43"/>
        <v>0</v>
      </c>
      <c r="W383" s="238">
        <f t="shared" si="44"/>
        <v>0</v>
      </c>
      <c r="X383" s="338" t="s">
        <v>197</v>
      </c>
      <c r="Y383" s="291"/>
    </row>
    <row r="384" spans="1:25" x14ac:dyDescent="0.25">
      <c r="A384" s="52"/>
      <c r="B384" s="265"/>
      <c r="C384" s="265"/>
      <c r="D384" s="265"/>
      <c r="E384" s="265"/>
      <c r="F384" s="265"/>
      <c r="G384" s="266"/>
      <c r="H384" s="267">
        <v>1</v>
      </c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268">
        <f t="shared" si="43"/>
        <v>1</v>
      </c>
      <c r="W384" s="238">
        <f t="shared" si="44"/>
        <v>1.6949152542372881E-3</v>
      </c>
      <c r="X384" s="338" t="s">
        <v>101</v>
      </c>
      <c r="Y384" s="291"/>
    </row>
    <row r="385" spans="1:25" x14ac:dyDescent="0.25">
      <c r="A385" s="52"/>
      <c r="B385" s="265"/>
      <c r="C385" s="265"/>
      <c r="D385" s="265"/>
      <c r="E385" s="265"/>
      <c r="F385" s="265"/>
      <c r="G385" s="266"/>
      <c r="H385" s="267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268">
        <f t="shared" si="43"/>
        <v>0</v>
      </c>
      <c r="W385" s="238">
        <f t="shared" si="44"/>
        <v>0</v>
      </c>
      <c r="X385" s="196" t="s">
        <v>35</v>
      </c>
      <c r="Y385" s="291"/>
    </row>
    <row r="386" spans="1:25" x14ac:dyDescent="0.25">
      <c r="A386" s="52"/>
      <c r="B386" s="265"/>
      <c r="C386" s="265"/>
      <c r="D386" s="265"/>
      <c r="E386" s="265"/>
      <c r="F386" s="265"/>
      <c r="G386" s="266"/>
      <c r="H386" s="267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268">
        <f t="shared" si="43"/>
        <v>0</v>
      </c>
      <c r="W386" s="238">
        <f t="shared" si="44"/>
        <v>0</v>
      </c>
      <c r="X386" s="196" t="s">
        <v>203</v>
      </c>
      <c r="Y386" s="291"/>
    </row>
    <row r="387" spans="1:25" ht="15.75" thickBot="1" x14ac:dyDescent="0.3">
      <c r="A387" s="155"/>
      <c r="B387" s="156"/>
      <c r="C387" s="156"/>
      <c r="D387" s="156"/>
      <c r="E387" s="156"/>
      <c r="F387" s="156"/>
      <c r="G387" s="266"/>
      <c r="H387" s="267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268">
        <f t="shared" si="43"/>
        <v>0</v>
      </c>
      <c r="W387" s="236">
        <f>$V387/$D$353</f>
        <v>0</v>
      </c>
      <c r="X387" s="38" t="s">
        <v>85</v>
      </c>
      <c r="Y387" s="298"/>
    </row>
    <row r="388" spans="1:25" ht="15.75" thickBot="1" x14ac:dyDescent="0.3">
      <c r="A388" s="41"/>
      <c r="B388" s="41"/>
      <c r="C388" s="41"/>
      <c r="D388" s="41"/>
      <c r="E388" s="41"/>
      <c r="F388" s="41"/>
      <c r="G388" s="47" t="s">
        <v>4</v>
      </c>
      <c r="H388" s="57">
        <f>SUM(H354:H387)</f>
        <v>14</v>
      </c>
      <c r="I388" s="57">
        <f>SUM(I354:I387)</f>
        <v>46</v>
      </c>
      <c r="J388" s="57">
        <f t="shared" ref="J388:U388" si="45">SUM(J354:J387)</f>
        <v>6</v>
      </c>
      <c r="K388" s="57">
        <f t="shared" si="45"/>
        <v>0</v>
      </c>
      <c r="L388" s="57">
        <f t="shared" si="45"/>
        <v>0</v>
      </c>
      <c r="M388" s="57">
        <f t="shared" si="45"/>
        <v>0</v>
      </c>
      <c r="N388" s="57">
        <f t="shared" si="45"/>
        <v>0</v>
      </c>
      <c r="O388" s="57">
        <f t="shared" si="45"/>
        <v>0</v>
      </c>
      <c r="P388" s="57">
        <f t="shared" si="45"/>
        <v>0</v>
      </c>
      <c r="Q388" s="57">
        <f t="shared" si="45"/>
        <v>0</v>
      </c>
      <c r="R388" s="57">
        <f t="shared" si="45"/>
        <v>0</v>
      </c>
      <c r="S388" s="57">
        <f t="shared" si="45"/>
        <v>0</v>
      </c>
      <c r="T388" s="57">
        <f t="shared" si="45"/>
        <v>0</v>
      </c>
      <c r="U388" s="57">
        <f t="shared" si="45"/>
        <v>2</v>
      </c>
      <c r="V388" s="288">
        <f t="shared" si="43"/>
        <v>22</v>
      </c>
      <c r="W388" s="328">
        <f>$V388/$D$353</f>
        <v>3.7288135593220341E-2</v>
      </c>
    </row>
    <row r="390" spans="1:25" ht="15.75" thickBot="1" x14ac:dyDescent="0.3"/>
    <row r="391" spans="1:25" ht="60.75" thickBot="1" x14ac:dyDescent="0.3">
      <c r="A391" s="43" t="s">
        <v>22</v>
      </c>
      <c r="B391" s="43" t="s">
        <v>47</v>
      </c>
      <c r="C391" s="43" t="s">
        <v>52</v>
      </c>
      <c r="D391" s="43" t="s">
        <v>17</v>
      </c>
      <c r="E391" s="42" t="s">
        <v>16</v>
      </c>
      <c r="F391" s="44" t="s">
        <v>1</v>
      </c>
      <c r="G391" s="45" t="s">
        <v>23</v>
      </c>
      <c r="H391" s="76" t="s">
        <v>66</v>
      </c>
      <c r="I391" s="46" t="s">
        <v>67</v>
      </c>
      <c r="J391" s="46" t="s">
        <v>53</v>
      </c>
      <c r="K391" s="46" t="s">
        <v>58</v>
      </c>
      <c r="L391" s="46" t="s">
        <v>54</v>
      </c>
      <c r="M391" s="46" t="s">
        <v>59</v>
      </c>
      <c r="N391" s="46" t="s">
        <v>55</v>
      </c>
      <c r="O391" s="46" t="s">
        <v>60</v>
      </c>
      <c r="P391" s="46" t="s">
        <v>56</v>
      </c>
      <c r="Q391" s="46" t="s">
        <v>63</v>
      </c>
      <c r="R391" s="46" t="s">
        <v>57</v>
      </c>
      <c r="S391" s="46" t="s">
        <v>64</v>
      </c>
      <c r="T391" s="46" t="s">
        <v>115</v>
      </c>
      <c r="U391" s="46" t="s">
        <v>41</v>
      </c>
      <c r="V391" s="46" t="s">
        <v>4</v>
      </c>
      <c r="W391" s="42" t="s">
        <v>2</v>
      </c>
      <c r="X391" s="33" t="s">
        <v>20</v>
      </c>
      <c r="Y391" s="32" t="s">
        <v>6</v>
      </c>
    </row>
    <row r="392" spans="1:25" ht="15.75" thickBot="1" x14ac:dyDescent="0.3">
      <c r="A392" s="73">
        <v>1517030</v>
      </c>
      <c r="B392" s="73" t="s">
        <v>179</v>
      </c>
      <c r="C392" s="317">
        <v>576</v>
      </c>
      <c r="D392" s="317">
        <v>602</v>
      </c>
      <c r="E392" s="317">
        <v>563</v>
      </c>
      <c r="F392" s="318">
        <f>E392/D392</f>
        <v>0.93521594684385378</v>
      </c>
      <c r="G392" s="48">
        <v>45362</v>
      </c>
      <c r="H392" s="82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4"/>
      <c r="T392" s="296"/>
      <c r="U392" s="115"/>
      <c r="V392" s="115"/>
      <c r="W392" s="84"/>
      <c r="X392" s="86" t="s">
        <v>75</v>
      </c>
      <c r="Y392" s="353" t="s">
        <v>191</v>
      </c>
    </row>
    <row r="393" spans="1:25" x14ac:dyDescent="0.25">
      <c r="A393" s="52"/>
      <c r="B393" s="265"/>
      <c r="C393" s="265"/>
      <c r="D393" s="265"/>
      <c r="E393" s="265"/>
      <c r="F393" s="265"/>
      <c r="G393" s="266"/>
      <c r="H393" s="262"/>
      <c r="I393" s="59">
        <v>7</v>
      </c>
      <c r="J393" s="59">
        <v>1</v>
      </c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286">
        <f>SUM(H393,J393,L393,N393,P393,R393,U393,T393)</f>
        <v>1</v>
      </c>
      <c r="W393" s="237">
        <f>$V393/$D$392</f>
        <v>1.6611295681063123E-3</v>
      </c>
      <c r="X393" s="35" t="s">
        <v>18</v>
      </c>
      <c r="Y393" s="260"/>
    </row>
    <row r="394" spans="1:25" x14ac:dyDescent="0.25">
      <c r="A394" s="52"/>
      <c r="B394" s="265"/>
      <c r="C394" s="265"/>
      <c r="D394" s="265"/>
      <c r="E394" s="265"/>
      <c r="F394" s="265"/>
      <c r="G394" s="266"/>
      <c r="H394" s="267">
        <v>2</v>
      </c>
      <c r="I394" s="61"/>
      <c r="J394" s="61"/>
      <c r="K394" s="61"/>
      <c r="L394" s="61"/>
      <c r="M394" s="61"/>
      <c r="N394" s="66"/>
      <c r="O394" s="61"/>
      <c r="P394" s="61"/>
      <c r="Q394" s="61"/>
      <c r="R394" s="61"/>
      <c r="S394" s="61"/>
      <c r="T394" s="61"/>
      <c r="U394" s="61"/>
      <c r="V394" s="268">
        <f>SUM(H394,J394,L394,N394,P394,R394,U394,T394)</f>
        <v>2</v>
      </c>
      <c r="W394" s="238">
        <f>$V394/$D$392</f>
        <v>3.3222591362126247E-3</v>
      </c>
      <c r="X394" s="196" t="s">
        <v>48</v>
      </c>
      <c r="Y394" s="260"/>
    </row>
    <row r="395" spans="1:25" x14ac:dyDescent="0.25">
      <c r="A395" s="52"/>
      <c r="B395" s="265"/>
      <c r="C395" s="265"/>
      <c r="D395" s="265"/>
      <c r="E395" s="265"/>
      <c r="F395" s="265"/>
      <c r="G395" s="266"/>
      <c r="H395" s="267">
        <v>6</v>
      </c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268">
        <f t="shared" ref="V395:V411" si="46">SUM(H395,J395,L395,N395,P395,R395,U395,T395)</f>
        <v>6</v>
      </c>
      <c r="W395" s="238">
        <f t="shared" ref="W395:W411" si="47">$V395/$D$392</f>
        <v>9.9667774086378731E-3</v>
      </c>
      <c r="X395" s="36" t="s">
        <v>15</v>
      </c>
      <c r="Y395" s="282"/>
    </row>
    <row r="396" spans="1:25" x14ac:dyDescent="0.25">
      <c r="A396" s="52"/>
      <c r="B396" s="265"/>
      <c r="C396" s="265"/>
      <c r="D396" s="265"/>
      <c r="E396" s="265"/>
      <c r="F396" s="265"/>
      <c r="G396" s="266"/>
      <c r="H396" s="267"/>
      <c r="I396" s="61"/>
      <c r="J396" s="290"/>
      <c r="K396" s="290"/>
      <c r="L396" s="290"/>
      <c r="M396" s="61"/>
      <c r="N396" s="61"/>
      <c r="O396" s="61"/>
      <c r="P396" s="61"/>
      <c r="Q396" s="61"/>
      <c r="R396" s="61"/>
      <c r="S396" s="61"/>
      <c r="T396" s="61"/>
      <c r="U396" s="61"/>
      <c r="V396" s="268">
        <f t="shared" si="46"/>
        <v>0</v>
      </c>
      <c r="W396" s="238">
        <f t="shared" si="47"/>
        <v>0</v>
      </c>
      <c r="X396" s="338" t="s">
        <v>84</v>
      </c>
      <c r="Y396" s="282"/>
    </row>
    <row r="397" spans="1:25" x14ac:dyDescent="0.25">
      <c r="A397" s="52"/>
      <c r="B397" s="265"/>
      <c r="C397" s="265"/>
      <c r="D397" s="265"/>
      <c r="E397" s="265"/>
      <c r="F397" s="265"/>
      <c r="G397" s="266"/>
      <c r="H397" s="267"/>
      <c r="I397" s="61">
        <v>1</v>
      </c>
      <c r="J397" s="61">
        <v>1</v>
      </c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>
        <v>1</v>
      </c>
      <c r="V397" s="268">
        <f t="shared" si="46"/>
        <v>2</v>
      </c>
      <c r="W397" s="238">
        <f t="shared" si="47"/>
        <v>3.3222591362126247E-3</v>
      </c>
      <c r="X397" s="36" t="s">
        <v>13</v>
      </c>
      <c r="Y397" s="146"/>
    </row>
    <row r="398" spans="1:25" x14ac:dyDescent="0.25">
      <c r="A398" s="52"/>
      <c r="B398" s="265"/>
      <c r="C398" s="265"/>
      <c r="D398" s="265"/>
      <c r="E398" s="265"/>
      <c r="F398" s="265"/>
      <c r="G398" s="266"/>
      <c r="H398" s="267"/>
      <c r="I398" s="61">
        <v>1</v>
      </c>
      <c r="J398" s="61">
        <v>1</v>
      </c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>
        <v>3</v>
      </c>
      <c r="V398" s="268">
        <f t="shared" si="46"/>
        <v>4</v>
      </c>
      <c r="W398" s="238">
        <f t="shared" si="47"/>
        <v>6.6445182724252493E-3</v>
      </c>
      <c r="X398" s="36" t="s">
        <v>14</v>
      </c>
      <c r="Y398" s="264"/>
    </row>
    <row r="399" spans="1:25" x14ac:dyDescent="0.25">
      <c r="A399" s="52" t="s">
        <v>157</v>
      </c>
      <c r="B399" s="265"/>
      <c r="C399" s="265"/>
      <c r="D399" s="265"/>
      <c r="E399" s="265"/>
      <c r="F399" s="265"/>
      <c r="G399" s="266"/>
      <c r="H399" s="267"/>
      <c r="I399" s="61">
        <v>8</v>
      </c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268">
        <f t="shared" si="46"/>
        <v>0</v>
      </c>
      <c r="W399" s="238">
        <f t="shared" si="47"/>
        <v>0</v>
      </c>
      <c r="X399" s="36" t="s">
        <v>7</v>
      </c>
      <c r="Y399" s="264"/>
    </row>
    <row r="400" spans="1:25" x14ac:dyDescent="0.25">
      <c r="A400" s="52"/>
      <c r="B400" s="265"/>
      <c r="C400" s="265"/>
      <c r="D400" s="265"/>
      <c r="E400" s="265"/>
      <c r="F400" s="265"/>
      <c r="G400" s="266"/>
      <c r="H400" s="267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268">
        <f t="shared" si="46"/>
        <v>0</v>
      </c>
      <c r="W400" s="238">
        <f t="shared" si="47"/>
        <v>0</v>
      </c>
      <c r="X400" s="36" t="s">
        <v>8</v>
      </c>
      <c r="Y400" s="291"/>
    </row>
    <row r="401" spans="1:25" x14ac:dyDescent="0.25">
      <c r="A401" s="52"/>
      <c r="B401" s="265"/>
      <c r="C401" s="265"/>
      <c r="D401" s="265"/>
      <c r="E401" s="265"/>
      <c r="F401" s="265"/>
      <c r="G401" s="266"/>
      <c r="H401" s="285"/>
      <c r="I401" s="61">
        <v>1</v>
      </c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268">
        <f t="shared" si="46"/>
        <v>0</v>
      </c>
      <c r="W401" s="238">
        <f t="shared" si="47"/>
        <v>0</v>
      </c>
      <c r="X401" s="36" t="s">
        <v>68</v>
      </c>
      <c r="Y401" s="291"/>
    </row>
    <row r="402" spans="1:25" x14ac:dyDescent="0.25">
      <c r="A402" s="52"/>
      <c r="B402" s="265"/>
      <c r="C402" s="265"/>
      <c r="D402" s="265"/>
      <c r="E402" s="265"/>
      <c r="F402" s="265"/>
      <c r="G402" s="266"/>
      <c r="H402" s="285"/>
      <c r="I402" s="61"/>
      <c r="J402" s="61">
        <v>1</v>
      </c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268">
        <f t="shared" si="46"/>
        <v>1</v>
      </c>
      <c r="W402" s="238">
        <f t="shared" si="47"/>
        <v>1.6611295681063123E-3</v>
      </c>
      <c r="X402" s="36" t="s">
        <v>0</v>
      </c>
      <c r="Y402" s="292"/>
    </row>
    <row r="403" spans="1:25" x14ac:dyDescent="0.25">
      <c r="A403" s="52"/>
      <c r="B403" s="265"/>
      <c r="C403" s="265"/>
      <c r="D403" s="265"/>
      <c r="E403" s="265"/>
      <c r="F403" s="265"/>
      <c r="G403" s="266"/>
      <c r="H403" s="285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>
        <v>1</v>
      </c>
      <c r="V403" s="268">
        <f t="shared" si="46"/>
        <v>1</v>
      </c>
      <c r="W403" s="238">
        <f t="shared" si="47"/>
        <v>1.6611295681063123E-3</v>
      </c>
      <c r="X403" s="36" t="s">
        <v>19</v>
      </c>
      <c r="Y403" s="292"/>
    </row>
    <row r="404" spans="1:25" x14ac:dyDescent="0.25">
      <c r="A404" s="52"/>
      <c r="B404" s="265"/>
      <c r="C404" s="265"/>
      <c r="D404" s="265"/>
      <c r="E404" s="265"/>
      <c r="F404" s="265" t="s">
        <v>100</v>
      </c>
      <c r="G404" s="266"/>
      <c r="H404" s="285"/>
      <c r="I404" s="61">
        <v>1</v>
      </c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268">
        <f t="shared" si="46"/>
        <v>0</v>
      </c>
      <c r="W404" s="238">
        <f t="shared" si="47"/>
        <v>0</v>
      </c>
      <c r="X404" s="36" t="s">
        <v>3</v>
      </c>
      <c r="Y404" s="292"/>
    </row>
    <row r="405" spans="1:25" x14ac:dyDescent="0.25">
      <c r="A405" s="303"/>
      <c r="B405" s="305"/>
      <c r="C405" s="305"/>
      <c r="D405" s="305"/>
      <c r="E405" s="305"/>
      <c r="F405" s="305"/>
      <c r="G405" s="304"/>
      <c r="H405" s="293"/>
      <c r="I405" s="61">
        <v>4</v>
      </c>
      <c r="J405" s="66"/>
      <c r="K405" s="66"/>
      <c r="L405" s="66"/>
      <c r="M405" s="61"/>
      <c r="N405" s="66"/>
      <c r="O405" s="66"/>
      <c r="P405" s="66"/>
      <c r="Q405" s="66"/>
      <c r="R405" s="66"/>
      <c r="S405" s="66"/>
      <c r="T405" s="66"/>
      <c r="U405" s="66"/>
      <c r="V405" s="268">
        <f t="shared" si="46"/>
        <v>0</v>
      </c>
      <c r="W405" s="238">
        <f t="shared" si="47"/>
        <v>0</v>
      </c>
      <c r="X405" s="36" t="s">
        <v>199</v>
      </c>
      <c r="Y405" s="292"/>
    </row>
    <row r="406" spans="1:25" x14ac:dyDescent="0.25">
      <c r="A406" s="303"/>
      <c r="B406" s="305"/>
      <c r="C406" s="305"/>
      <c r="D406" s="305"/>
      <c r="E406" s="305"/>
      <c r="F406" s="305"/>
      <c r="G406" s="304"/>
      <c r="H406" s="289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268">
        <f t="shared" si="46"/>
        <v>0</v>
      </c>
      <c r="W406" s="238">
        <f t="shared" si="47"/>
        <v>0</v>
      </c>
      <c r="X406" s="36" t="s">
        <v>268</v>
      </c>
      <c r="Y406" s="292"/>
    </row>
    <row r="407" spans="1:25" x14ac:dyDescent="0.25">
      <c r="A407" s="52"/>
      <c r="B407" s="265"/>
      <c r="C407" s="265"/>
      <c r="D407" s="265"/>
      <c r="E407" s="265"/>
      <c r="F407" s="265"/>
      <c r="G407" s="56"/>
      <c r="H407" s="276"/>
      <c r="I407" s="276"/>
      <c r="J407" s="61"/>
      <c r="K407" s="61"/>
      <c r="L407" s="61"/>
      <c r="M407" s="276"/>
      <c r="N407" s="61"/>
      <c r="O407" s="61"/>
      <c r="P407" s="61"/>
      <c r="Q407" s="61"/>
      <c r="R407" s="61"/>
      <c r="S407" s="61"/>
      <c r="T407" s="61"/>
      <c r="U407" s="61"/>
      <c r="V407" s="268">
        <f t="shared" si="46"/>
        <v>0</v>
      </c>
      <c r="W407" s="238">
        <f t="shared" si="47"/>
        <v>0</v>
      </c>
      <c r="X407" s="196" t="s">
        <v>80</v>
      </c>
      <c r="Y407" s="294"/>
    </row>
    <row r="408" spans="1:25" x14ac:dyDescent="0.25">
      <c r="A408" s="52"/>
      <c r="B408" s="265"/>
      <c r="C408" s="265"/>
      <c r="D408" s="265"/>
      <c r="E408" s="265"/>
      <c r="F408" s="265"/>
      <c r="G408" s="56"/>
      <c r="H408" s="276"/>
      <c r="I408" s="61">
        <v>2</v>
      </c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268">
        <f t="shared" si="46"/>
        <v>0</v>
      </c>
      <c r="W408" s="238">
        <f t="shared" si="47"/>
        <v>0</v>
      </c>
      <c r="X408" s="36" t="s">
        <v>92</v>
      </c>
      <c r="Y408" s="147" t="s">
        <v>195</v>
      </c>
    </row>
    <row r="409" spans="1:25" x14ac:dyDescent="0.25">
      <c r="A409" s="52"/>
      <c r="B409" s="265"/>
      <c r="C409" s="265"/>
      <c r="D409" s="265"/>
      <c r="E409" s="265"/>
      <c r="F409" s="265"/>
      <c r="G409" s="266"/>
      <c r="H409" s="267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268">
        <f t="shared" si="46"/>
        <v>0</v>
      </c>
      <c r="W409" s="238">
        <f t="shared" si="47"/>
        <v>0</v>
      </c>
      <c r="X409" s="197" t="s">
        <v>35</v>
      </c>
      <c r="Y409" s="292"/>
    </row>
    <row r="410" spans="1:25" x14ac:dyDescent="0.25">
      <c r="A410" s="52"/>
      <c r="B410" s="265"/>
      <c r="C410" s="265"/>
      <c r="D410" s="265"/>
      <c r="E410" s="265"/>
      <c r="F410" s="265"/>
      <c r="G410" s="266"/>
      <c r="H410" s="267"/>
      <c r="I410" s="61">
        <v>4</v>
      </c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268">
        <f t="shared" si="46"/>
        <v>0</v>
      </c>
      <c r="W410" s="238">
        <f t="shared" si="47"/>
        <v>0</v>
      </c>
      <c r="X410" s="36" t="s">
        <v>12</v>
      </c>
      <c r="Y410" s="292"/>
    </row>
    <row r="411" spans="1:25" x14ac:dyDescent="0.25">
      <c r="A411" s="52"/>
      <c r="B411" s="265"/>
      <c r="C411" s="265"/>
      <c r="D411" s="265"/>
      <c r="E411" s="265"/>
      <c r="F411" s="265" t="s">
        <v>100</v>
      </c>
      <c r="G411" s="266"/>
      <c r="H411" s="273"/>
      <c r="I411" s="66"/>
      <c r="J411" s="66">
        <v>1</v>
      </c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>
        <v>2</v>
      </c>
      <c r="V411" s="268">
        <f t="shared" si="46"/>
        <v>3</v>
      </c>
      <c r="W411" s="238">
        <f t="shared" si="47"/>
        <v>4.9833887043189366E-3</v>
      </c>
      <c r="X411" s="197" t="s">
        <v>27</v>
      </c>
      <c r="Y411" s="291"/>
    </row>
    <row r="412" spans="1:25" ht="15.75" thickBot="1" x14ac:dyDescent="0.3">
      <c r="A412" s="52"/>
      <c r="B412" s="265"/>
      <c r="C412" s="265"/>
      <c r="D412" s="265"/>
      <c r="E412" s="265"/>
      <c r="F412" s="265"/>
      <c r="G412" s="266"/>
      <c r="H412" s="273"/>
      <c r="I412" s="66"/>
      <c r="J412" s="66">
        <v>1</v>
      </c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268">
        <f>SUM(H412,J412,L412,N412,P412,R412,U412,T412)</f>
        <v>1</v>
      </c>
      <c r="W412" s="258">
        <f>$V412/$D$392</f>
        <v>1.6611295681063123E-3</v>
      </c>
      <c r="X412" s="197" t="s">
        <v>9</v>
      </c>
      <c r="Y412" s="292"/>
    </row>
    <row r="413" spans="1:25" ht="15.75" thickBot="1" x14ac:dyDescent="0.3">
      <c r="A413" s="52"/>
      <c r="B413" s="265"/>
      <c r="C413" s="265"/>
      <c r="D413" s="265"/>
      <c r="E413" s="265"/>
      <c r="F413" s="265"/>
      <c r="G413" s="266"/>
      <c r="H413" s="295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296"/>
      <c r="W413" s="166"/>
      <c r="X413" s="74" t="s">
        <v>21</v>
      </c>
      <c r="Y413" s="292"/>
    </row>
    <row r="414" spans="1:25" x14ac:dyDescent="0.25">
      <c r="A414" s="52"/>
      <c r="B414" s="265"/>
      <c r="C414" s="265"/>
      <c r="D414" s="265"/>
      <c r="E414" s="265"/>
      <c r="F414" s="265"/>
      <c r="G414" s="266"/>
      <c r="H414" s="297">
        <v>1</v>
      </c>
      <c r="I414" s="62"/>
      <c r="J414" s="62"/>
      <c r="K414" s="62"/>
      <c r="L414" s="62"/>
      <c r="M414" s="62"/>
      <c r="N414" s="62"/>
      <c r="O414" s="62"/>
      <c r="P414" s="62"/>
      <c r="Q414" s="61"/>
      <c r="R414" s="62"/>
      <c r="S414" s="62"/>
      <c r="T414" s="62"/>
      <c r="U414" s="62"/>
      <c r="V414" s="268">
        <f t="shared" ref="V414:V427" si="48">SUM(H414,J414,L414,N414,P414,R414,U414)</f>
        <v>1</v>
      </c>
      <c r="W414" s="237">
        <f>$V414/$D$392</f>
        <v>1.6611295681063123E-3</v>
      </c>
      <c r="X414" s="341" t="s">
        <v>71</v>
      </c>
      <c r="Y414" s="292"/>
    </row>
    <row r="415" spans="1:25" x14ac:dyDescent="0.25">
      <c r="A415" s="52"/>
      <c r="B415" s="265"/>
      <c r="C415" s="265"/>
      <c r="D415" s="265"/>
      <c r="E415" s="265"/>
      <c r="F415" s="265"/>
      <c r="G415" s="266"/>
      <c r="H415" s="267">
        <v>9</v>
      </c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268">
        <f t="shared" si="48"/>
        <v>9</v>
      </c>
      <c r="W415" s="238">
        <f>$V415/$D$392</f>
        <v>1.4950166112956811E-2</v>
      </c>
      <c r="X415" s="101" t="s">
        <v>26</v>
      </c>
      <c r="Y415" s="146"/>
    </row>
    <row r="416" spans="1:25" x14ac:dyDescent="0.25">
      <c r="A416" s="52"/>
      <c r="B416" s="265"/>
      <c r="C416" s="265"/>
      <c r="D416" s="265"/>
      <c r="E416" s="265"/>
      <c r="F416" s="265"/>
      <c r="G416" s="266"/>
      <c r="H416" s="267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268">
        <f t="shared" si="48"/>
        <v>0</v>
      </c>
      <c r="W416" s="238">
        <f t="shared" ref="W416:W425" si="49">$V416/$D$392</f>
        <v>0</v>
      </c>
      <c r="X416" s="337" t="s">
        <v>172</v>
      </c>
      <c r="Y416" s="291"/>
    </row>
    <row r="417" spans="1:25" x14ac:dyDescent="0.25">
      <c r="A417" s="52"/>
      <c r="B417" s="265"/>
      <c r="C417" s="265"/>
      <c r="D417" s="265"/>
      <c r="E417" s="265"/>
      <c r="F417" s="265"/>
      <c r="G417" s="266"/>
      <c r="H417" s="267">
        <v>5</v>
      </c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268">
        <f t="shared" si="48"/>
        <v>5</v>
      </c>
      <c r="W417" s="238">
        <f t="shared" si="49"/>
        <v>8.3056478405315621E-3</v>
      </c>
      <c r="X417" s="338" t="s">
        <v>25</v>
      </c>
      <c r="Y417" s="291" t="s">
        <v>395</v>
      </c>
    </row>
    <row r="418" spans="1:25" x14ac:dyDescent="0.25">
      <c r="A418" s="52"/>
      <c r="B418" s="265"/>
      <c r="C418" s="265"/>
      <c r="D418" s="265"/>
      <c r="E418" s="265"/>
      <c r="F418" s="265" t="s">
        <v>100</v>
      </c>
      <c r="G418" s="266"/>
      <c r="H418" s="267">
        <v>3</v>
      </c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268">
        <f t="shared" si="48"/>
        <v>3</v>
      </c>
      <c r="W418" s="238">
        <f t="shared" si="49"/>
        <v>4.9833887043189366E-3</v>
      </c>
      <c r="X418" s="337" t="s">
        <v>51</v>
      </c>
      <c r="Y418" s="146"/>
    </row>
    <row r="419" spans="1:25" x14ac:dyDescent="0.25">
      <c r="A419" s="52"/>
      <c r="B419" s="265"/>
      <c r="C419" s="265"/>
      <c r="D419" s="265"/>
      <c r="E419" s="265"/>
      <c r="F419" s="265"/>
      <c r="G419" s="266"/>
      <c r="H419" s="267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268">
        <f t="shared" si="48"/>
        <v>0</v>
      </c>
      <c r="W419" s="238">
        <f t="shared" si="49"/>
        <v>0</v>
      </c>
      <c r="X419" s="196" t="s">
        <v>12</v>
      </c>
      <c r="Y419" s="291"/>
    </row>
    <row r="420" spans="1:25" x14ac:dyDescent="0.25">
      <c r="A420" s="52"/>
      <c r="B420" s="265"/>
      <c r="C420" s="265"/>
      <c r="D420" s="265"/>
      <c r="E420" s="265"/>
      <c r="F420" s="265"/>
      <c r="G420" s="266"/>
      <c r="H420" s="267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268">
        <f t="shared" si="48"/>
        <v>0</v>
      </c>
      <c r="W420" s="238">
        <f t="shared" si="49"/>
        <v>0</v>
      </c>
      <c r="X420" s="336" t="s">
        <v>161</v>
      </c>
      <c r="Y420" s="291"/>
    </row>
    <row r="421" spans="1:25" x14ac:dyDescent="0.25">
      <c r="A421" s="52"/>
      <c r="B421" s="265"/>
      <c r="C421" s="265"/>
      <c r="D421" s="265"/>
      <c r="E421" s="265"/>
      <c r="F421" s="265"/>
      <c r="G421" s="266"/>
      <c r="H421" s="267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268">
        <f t="shared" si="48"/>
        <v>0</v>
      </c>
      <c r="W421" s="238">
        <f t="shared" si="49"/>
        <v>0</v>
      </c>
      <c r="X421" s="338" t="s">
        <v>169</v>
      </c>
      <c r="Y421" s="291"/>
    </row>
    <row r="422" spans="1:25" x14ac:dyDescent="0.25">
      <c r="A422" s="52"/>
      <c r="B422" s="265"/>
      <c r="C422" s="265"/>
      <c r="D422" s="265"/>
      <c r="E422" s="265"/>
      <c r="F422" s="265"/>
      <c r="G422" s="266"/>
      <c r="H422" s="267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268">
        <f t="shared" si="48"/>
        <v>0</v>
      </c>
      <c r="W422" s="238">
        <f t="shared" si="49"/>
        <v>0</v>
      </c>
      <c r="X422" s="338" t="s">
        <v>197</v>
      </c>
      <c r="Y422" s="291"/>
    </row>
    <row r="423" spans="1:25" x14ac:dyDescent="0.25">
      <c r="A423" s="52"/>
      <c r="B423" s="265"/>
      <c r="C423" s="265"/>
      <c r="D423" s="265"/>
      <c r="E423" s="265"/>
      <c r="F423" s="265"/>
      <c r="G423" s="266"/>
      <c r="H423" s="267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268">
        <f t="shared" si="48"/>
        <v>0</v>
      </c>
      <c r="W423" s="238">
        <f t="shared" si="49"/>
        <v>0</v>
      </c>
      <c r="X423" s="338" t="s">
        <v>101</v>
      </c>
      <c r="Y423" s="291"/>
    </row>
    <row r="424" spans="1:25" x14ac:dyDescent="0.25">
      <c r="A424" s="52"/>
      <c r="B424" s="265"/>
      <c r="C424" s="265"/>
      <c r="D424" s="265"/>
      <c r="E424" s="265"/>
      <c r="F424" s="265"/>
      <c r="G424" s="266"/>
      <c r="H424" s="267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268">
        <f t="shared" si="48"/>
        <v>0</v>
      </c>
      <c r="W424" s="238">
        <f t="shared" si="49"/>
        <v>0</v>
      </c>
      <c r="X424" s="196" t="s">
        <v>35</v>
      </c>
      <c r="Y424" s="291"/>
    </row>
    <row r="425" spans="1:25" x14ac:dyDescent="0.25">
      <c r="A425" s="52"/>
      <c r="B425" s="265"/>
      <c r="C425" s="265"/>
      <c r="D425" s="265"/>
      <c r="E425" s="265"/>
      <c r="F425" s="265"/>
      <c r="G425" s="266"/>
      <c r="H425" s="267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268">
        <f t="shared" si="48"/>
        <v>0</v>
      </c>
      <c r="W425" s="238">
        <f t="shared" si="49"/>
        <v>0</v>
      </c>
      <c r="X425" s="196" t="s">
        <v>203</v>
      </c>
      <c r="Y425" s="291"/>
    </row>
    <row r="426" spans="1:25" ht="15.75" thickBot="1" x14ac:dyDescent="0.3">
      <c r="A426" s="155"/>
      <c r="B426" s="156"/>
      <c r="C426" s="156"/>
      <c r="D426" s="156"/>
      <c r="E426" s="156"/>
      <c r="F426" s="156"/>
      <c r="G426" s="266"/>
      <c r="H426" s="267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268">
        <f t="shared" si="48"/>
        <v>0</v>
      </c>
      <c r="W426" s="236">
        <f>$V426/$D$392</f>
        <v>0</v>
      </c>
      <c r="X426" s="38" t="s">
        <v>85</v>
      </c>
      <c r="Y426" s="298"/>
    </row>
    <row r="427" spans="1:25" ht="15.75" thickBot="1" x14ac:dyDescent="0.3">
      <c r="A427" s="41"/>
      <c r="B427" s="41"/>
      <c r="C427" s="41"/>
      <c r="D427" s="41"/>
      <c r="E427" s="41"/>
      <c r="F427" s="41"/>
      <c r="G427" s="47" t="s">
        <v>4</v>
      </c>
      <c r="H427" s="57">
        <f>SUM(H393:H426)</f>
        <v>26</v>
      </c>
      <c r="I427" s="57">
        <f>SUM(I393:I426)</f>
        <v>29</v>
      </c>
      <c r="J427" s="57">
        <f t="shared" ref="J427:U427" si="50">SUM(J393:J426)</f>
        <v>6</v>
      </c>
      <c r="K427" s="57">
        <f t="shared" si="50"/>
        <v>0</v>
      </c>
      <c r="L427" s="57">
        <f t="shared" si="50"/>
        <v>0</v>
      </c>
      <c r="M427" s="57">
        <f t="shared" si="50"/>
        <v>0</v>
      </c>
      <c r="N427" s="57">
        <f t="shared" si="50"/>
        <v>0</v>
      </c>
      <c r="O427" s="57">
        <f t="shared" si="50"/>
        <v>0</v>
      </c>
      <c r="P427" s="57">
        <f t="shared" si="50"/>
        <v>0</v>
      </c>
      <c r="Q427" s="57">
        <f t="shared" si="50"/>
        <v>0</v>
      </c>
      <c r="R427" s="57">
        <f t="shared" si="50"/>
        <v>0</v>
      </c>
      <c r="S427" s="57">
        <f t="shared" si="50"/>
        <v>0</v>
      </c>
      <c r="T427" s="57">
        <f t="shared" si="50"/>
        <v>0</v>
      </c>
      <c r="U427" s="57">
        <f t="shared" si="50"/>
        <v>7</v>
      </c>
      <c r="V427" s="288">
        <f t="shared" si="48"/>
        <v>39</v>
      </c>
      <c r="W427" s="328">
        <f>$V427/$D$392</f>
        <v>6.4784053156146174E-2</v>
      </c>
    </row>
    <row r="429" spans="1:25" ht="15.75" thickBot="1" x14ac:dyDescent="0.3"/>
    <row r="430" spans="1:25" ht="60.75" thickBot="1" x14ac:dyDescent="0.3">
      <c r="A430" s="43" t="s">
        <v>22</v>
      </c>
      <c r="B430" s="43" t="s">
        <v>47</v>
      </c>
      <c r="C430" s="43" t="s">
        <v>52</v>
      </c>
      <c r="D430" s="43" t="s">
        <v>17</v>
      </c>
      <c r="E430" s="42" t="s">
        <v>16</v>
      </c>
      <c r="F430" s="44" t="s">
        <v>1</v>
      </c>
      <c r="G430" s="45" t="s">
        <v>23</v>
      </c>
      <c r="H430" s="76" t="s">
        <v>66</v>
      </c>
      <c r="I430" s="46" t="s">
        <v>67</v>
      </c>
      <c r="J430" s="46" t="s">
        <v>53</v>
      </c>
      <c r="K430" s="46" t="s">
        <v>58</v>
      </c>
      <c r="L430" s="46" t="s">
        <v>54</v>
      </c>
      <c r="M430" s="46" t="s">
        <v>59</v>
      </c>
      <c r="N430" s="46" t="s">
        <v>55</v>
      </c>
      <c r="O430" s="46" t="s">
        <v>60</v>
      </c>
      <c r="P430" s="46" t="s">
        <v>56</v>
      </c>
      <c r="Q430" s="46" t="s">
        <v>63</v>
      </c>
      <c r="R430" s="46" t="s">
        <v>57</v>
      </c>
      <c r="S430" s="46" t="s">
        <v>64</v>
      </c>
      <c r="T430" s="46" t="s">
        <v>115</v>
      </c>
      <c r="U430" s="46" t="s">
        <v>41</v>
      </c>
      <c r="V430" s="46" t="s">
        <v>4</v>
      </c>
      <c r="W430" s="42" t="s">
        <v>2</v>
      </c>
      <c r="X430" s="33" t="s">
        <v>20</v>
      </c>
      <c r="Y430" s="32" t="s">
        <v>6</v>
      </c>
    </row>
    <row r="431" spans="1:25" ht="15.75" thickBot="1" x14ac:dyDescent="0.3">
      <c r="A431" s="73">
        <v>1514197</v>
      </c>
      <c r="B431" s="73" t="s">
        <v>179</v>
      </c>
      <c r="C431" s="317">
        <v>576</v>
      </c>
      <c r="D431" s="317">
        <v>629</v>
      </c>
      <c r="E431" s="317">
        <v>562</v>
      </c>
      <c r="F431" s="318">
        <f>E431/D431</f>
        <v>0.89348171701112877</v>
      </c>
      <c r="G431" s="48">
        <v>45366</v>
      </c>
      <c r="H431" s="82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4"/>
      <c r="T431" s="296"/>
      <c r="U431" s="115"/>
      <c r="V431" s="115"/>
      <c r="W431" s="84"/>
      <c r="X431" s="86" t="s">
        <v>75</v>
      </c>
      <c r="Y431" s="353" t="s">
        <v>191</v>
      </c>
    </row>
    <row r="432" spans="1:25" x14ac:dyDescent="0.25">
      <c r="A432" s="52"/>
      <c r="B432" s="265"/>
      <c r="C432" s="265"/>
      <c r="D432" s="265"/>
      <c r="E432" s="265"/>
      <c r="F432" s="265"/>
      <c r="G432" s="481"/>
      <c r="H432" s="262"/>
      <c r="I432" s="59">
        <v>12</v>
      </c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286">
        <f>SUM(H432,J432,L432,N432,P432,R432,U432,T432)</f>
        <v>0</v>
      </c>
      <c r="W432" s="237">
        <f>$V432/$D$431</f>
        <v>0</v>
      </c>
      <c r="X432" s="35" t="s">
        <v>18</v>
      </c>
      <c r="Y432" s="260"/>
    </row>
    <row r="433" spans="1:25" x14ac:dyDescent="0.25">
      <c r="A433" s="52"/>
      <c r="B433" s="265"/>
      <c r="C433" s="265"/>
      <c r="D433" s="265"/>
      <c r="E433" s="265"/>
      <c r="F433" s="265"/>
      <c r="G433" s="266"/>
      <c r="H433" s="267">
        <v>4</v>
      </c>
      <c r="I433" s="61"/>
      <c r="J433" s="61"/>
      <c r="K433" s="61"/>
      <c r="L433" s="61">
        <v>2</v>
      </c>
      <c r="M433" s="61"/>
      <c r="N433" s="66"/>
      <c r="O433" s="61"/>
      <c r="P433" s="61"/>
      <c r="Q433" s="61"/>
      <c r="R433" s="61"/>
      <c r="S433" s="61"/>
      <c r="T433" s="61"/>
      <c r="U433" s="61"/>
      <c r="V433" s="268">
        <f>SUM(H433,J433,L433,N433,P433,R433,U433,T433)</f>
        <v>6</v>
      </c>
      <c r="W433" s="238">
        <f>$V433/$D$431</f>
        <v>9.538950715421303E-3</v>
      </c>
      <c r="X433" s="196" t="s">
        <v>48</v>
      </c>
      <c r="Y433" s="260"/>
    </row>
    <row r="434" spans="1:25" x14ac:dyDescent="0.25">
      <c r="A434" s="52"/>
      <c r="B434" s="265"/>
      <c r="C434" s="265"/>
      <c r="D434" s="265"/>
      <c r="E434" s="265"/>
      <c r="F434" s="265"/>
      <c r="G434" s="266"/>
      <c r="H434" s="267">
        <v>18</v>
      </c>
      <c r="I434" s="61"/>
      <c r="J434" s="61">
        <v>2</v>
      </c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268">
        <f t="shared" ref="V434:V450" si="51">SUM(H434,J434,L434,N434,P434,R434,U434,T434)</f>
        <v>20</v>
      </c>
      <c r="W434" s="238">
        <f t="shared" ref="W434:W450" si="52">$V434/$D$431</f>
        <v>3.1796502384737677E-2</v>
      </c>
      <c r="X434" s="36" t="s">
        <v>15</v>
      </c>
      <c r="Y434" s="282"/>
    </row>
    <row r="435" spans="1:25" x14ac:dyDescent="0.25">
      <c r="A435" s="52"/>
      <c r="B435" s="265"/>
      <c r="C435" s="265"/>
      <c r="D435" s="265"/>
      <c r="E435" s="265"/>
      <c r="F435" s="265"/>
      <c r="G435" s="266"/>
      <c r="H435" s="267">
        <v>1</v>
      </c>
      <c r="I435" s="61"/>
      <c r="J435" s="290"/>
      <c r="K435" s="290"/>
      <c r="L435" s="290"/>
      <c r="M435" s="61"/>
      <c r="N435" s="61"/>
      <c r="O435" s="61"/>
      <c r="P435" s="61"/>
      <c r="Q435" s="61"/>
      <c r="R435" s="61"/>
      <c r="S435" s="61"/>
      <c r="T435" s="61"/>
      <c r="U435" s="61"/>
      <c r="V435" s="268">
        <f t="shared" si="51"/>
        <v>1</v>
      </c>
      <c r="W435" s="238">
        <f t="shared" si="52"/>
        <v>1.589825119236884E-3</v>
      </c>
      <c r="X435" s="338" t="s">
        <v>413</v>
      </c>
      <c r="Y435" s="282"/>
    </row>
    <row r="436" spans="1:25" x14ac:dyDescent="0.25">
      <c r="A436" s="52"/>
      <c r="B436" s="265"/>
      <c r="C436" s="265"/>
      <c r="D436" s="265"/>
      <c r="E436" s="265"/>
      <c r="F436" s="265"/>
      <c r="G436" s="266"/>
      <c r="H436" s="267"/>
      <c r="I436" s="61">
        <v>3</v>
      </c>
      <c r="J436" s="61">
        <v>2</v>
      </c>
      <c r="K436" s="61">
        <v>1</v>
      </c>
      <c r="L436" s="61">
        <v>2</v>
      </c>
      <c r="M436" s="61"/>
      <c r="N436" s="61"/>
      <c r="O436" s="61"/>
      <c r="P436" s="61"/>
      <c r="Q436" s="61"/>
      <c r="R436" s="61"/>
      <c r="S436" s="61"/>
      <c r="T436" s="61"/>
      <c r="U436" s="61"/>
      <c r="V436" s="268">
        <f t="shared" si="51"/>
        <v>4</v>
      </c>
      <c r="W436" s="238">
        <f t="shared" si="52"/>
        <v>6.3593004769475362E-3</v>
      </c>
      <c r="X436" s="36" t="s">
        <v>13</v>
      </c>
      <c r="Y436" s="146"/>
    </row>
    <row r="437" spans="1:25" x14ac:dyDescent="0.25">
      <c r="A437" s="52"/>
      <c r="B437" s="265"/>
      <c r="C437" s="265"/>
      <c r="D437" s="265"/>
      <c r="E437" s="265"/>
      <c r="F437" s="265"/>
      <c r="G437" s="266"/>
      <c r="H437" s="267"/>
      <c r="I437" s="61">
        <v>2</v>
      </c>
      <c r="J437" s="61">
        <v>5</v>
      </c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268">
        <f t="shared" si="51"/>
        <v>5</v>
      </c>
      <c r="W437" s="238">
        <f t="shared" si="52"/>
        <v>7.9491255961844191E-3</v>
      </c>
      <c r="X437" s="36" t="s">
        <v>14</v>
      </c>
      <c r="Y437" s="264"/>
    </row>
    <row r="438" spans="1:25" x14ac:dyDescent="0.25">
      <c r="A438" s="52" t="s">
        <v>157</v>
      </c>
      <c r="B438" s="265"/>
      <c r="C438" s="265"/>
      <c r="D438" s="265"/>
      <c r="E438" s="265"/>
      <c r="F438" s="265"/>
      <c r="G438" s="266"/>
      <c r="H438" s="267"/>
      <c r="I438" s="61">
        <v>8</v>
      </c>
      <c r="J438" s="61"/>
      <c r="K438" s="61">
        <v>2</v>
      </c>
      <c r="L438" s="61">
        <v>2</v>
      </c>
      <c r="M438" s="61"/>
      <c r="N438" s="61"/>
      <c r="O438" s="61"/>
      <c r="P438" s="61"/>
      <c r="Q438" s="61"/>
      <c r="R438" s="61"/>
      <c r="S438" s="61"/>
      <c r="T438" s="61"/>
      <c r="U438" s="61"/>
      <c r="V438" s="268">
        <f t="shared" si="51"/>
        <v>2</v>
      </c>
      <c r="W438" s="238">
        <f t="shared" si="52"/>
        <v>3.1796502384737681E-3</v>
      </c>
      <c r="X438" s="36" t="s">
        <v>7</v>
      </c>
      <c r="Y438" s="264"/>
    </row>
    <row r="439" spans="1:25" x14ac:dyDescent="0.25">
      <c r="A439" s="52"/>
      <c r="B439" s="265"/>
      <c r="C439" s="265"/>
      <c r="D439" s="265"/>
      <c r="E439" s="265"/>
      <c r="F439" s="265"/>
      <c r="G439" s="266"/>
      <c r="H439" s="267"/>
      <c r="I439" s="61"/>
      <c r="J439" s="61"/>
      <c r="K439" s="61">
        <v>1</v>
      </c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268">
        <f t="shared" si="51"/>
        <v>0</v>
      </c>
      <c r="W439" s="238">
        <f t="shared" si="52"/>
        <v>0</v>
      </c>
      <c r="X439" s="36" t="s">
        <v>8</v>
      </c>
      <c r="Y439" s="291"/>
    </row>
    <row r="440" spans="1:25" x14ac:dyDescent="0.25">
      <c r="A440" s="52"/>
      <c r="B440" s="265"/>
      <c r="C440" s="265"/>
      <c r="D440" s="265"/>
      <c r="E440" s="265"/>
      <c r="F440" s="265"/>
      <c r="G440" s="266"/>
      <c r="H440" s="285"/>
      <c r="I440" s="61">
        <v>2</v>
      </c>
      <c r="J440" s="61">
        <v>1</v>
      </c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268">
        <f t="shared" si="51"/>
        <v>1</v>
      </c>
      <c r="W440" s="238">
        <f t="shared" si="52"/>
        <v>1.589825119236884E-3</v>
      </c>
      <c r="X440" s="36" t="s">
        <v>68</v>
      </c>
      <c r="Y440" s="291"/>
    </row>
    <row r="441" spans="1:25" x14ac:dyDescent="0.25">
      <c r="A441" s="52"/>
      <c r="B441" s="265"/>
      <c r="C441" s="265"/>
      <c r="D441" s="265"/>
      <c r="E441" s="265"/>
      <c r="F441" s="265"/>
      <c r="G441" s="266"/>
      <c r="H441" s="285"/>
      <c r="I441" s="61">
        <v>1</v>
      </c>
      <c r="J441" s="61"/>
      <c r="K441" s="61"/>
      <c r="L441" s="61">
        <v>1</v>
      </c>
      <c r="M441" s="61"/>
      <c r="N441" s="61"/>
      <c r="O441" s="61"/>
      <c r="P441" s="61"/>
      <c r="Q441" s="61"/>
      <c r="R441" s="61"/>
      <c r="S441" s="61"/>
      <c r="T441" s="61"/>
      <c r="U441" s="61"/>
      <c r="V441" s="268">
        <f t="shared" si="51"/>
        <v>1</v>
      </c>
      <c r="W441" s="238">
        <f t="shared" si="52"/>
        <v>1.589825119236884E-3</v>
      </c>
      <c r="X441" s="36" t="s">
        <v>0</v>
      </c>
      <c r="Y441" s="292"/>
    </row>
    <row r="442" spans="1:25" x14ac:dyDescent="0.25">
      <c r="A442" s="52"/>
      <c r="B442" s="265"/>
      <c r="C442" s="265"/>
      <c r="D442" s="265"/>
      <c r="E442" s="265"/>
      <c r="F442" s="265"/>
      <c r="G442" s="266"/>
      <c r="H442" s="285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>
        <v>2</v>
      </c>
      <c r="V442" s="268">
        <f t="shared" si="51"/>
        <v>2</v>
      </c>
      <c r="W442" s="238">
        <f t="shared" si="52"/>
        <v>3.1796502384737681E-3</v>
      </c>
      <c r="X442" s="36" t="s">
        <v>19</v>
      </c>
      <c r="Y442" s="292"/>
    </row>
    <row r="443" spans="1:25" x14ac:dyDescent="0.25">
      <c r="A443" s="52"/>
      <c r="B443" s="265"/>
      <c r="C443" s="265"/>
      <c r="D443" s="265"/>
      <c r="E443" s="265"/>
      <c r="F443" s="265" t="s">
        <v>100</v>
      </c>
      <c r="G443" s="266"/>
      <c r="H443" s="285"/>
      <c r="I443" s="61">
        <v>1</v>
      </c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>
        <v>2</v>
      </c>
      <c r="V443" s="268">
        <f t="shared" si="51"/>
        <v>2</v>
      </c>
      <c r="W443" s="238">
        <f t="shared" si="52"/>
        <v>3.1796502384737681E-3</v>
      </c>
      <c r="X443" s="36" t="s">
        <v>3</v>
      </c>
      <c r="Y443" s="292"/>
    </row>
    <row r="444" spans="1:25" x14ac:dyDescent="0.25">
      <c r="A444" s="303"/>
      <c r="B444" s="305"/>
      <c r="C444" s="305"/>
      <c r="D444" s="305"/>
      <c r="E444" s="305"/>
      <c r="F444" s="305"/>
      <c r="G444" s="304"/>
      <c r="H444" s="293"/>
      <c r="I444" s="61">
        <v>4</v>
      </c>
      <c r="J444" s="66"/>
      <c r="K444" s="66"/>
      <c r="L444" s="66"/>
      <c r="M444" s="61"/>
      <c r="N444" s="66"/>
      <c r="O444" s="66"/>
      <c r="P444" s="66"/>
      <c r="Q444" s="66"/>
      <c r="R444" s="66"/>
      <c r="S444" s="66"/>
      <c r="T444" s="66"/>
      <c r="U444" s="66"/>
      <c r="V444" s="268">
        <f t="shared" si="51"/>
        <v>0</v>
      </c>
      <c r="W444" s="238">
        <f t="shared" si="52"/>
        <v>0</v>
      </c>
      <c r="X444" s="36" t="s">
        <v>199</v>
      </c>
      <c r="Y444" s="292"/>
    </row>
    <row r="445" spans="1:25" x14ac:dyDescent="0.25">
      <c r="A445" s="303"/>
      <c r="B445" s="305"/>
      <c r="C445" s="305"/>
      <c r="D445" s="305"/>
      <c r="E445" s="305"/>
      <c r="F445" s="305"/>
      <c r="G445" s="304"/>
      <c r="H445" s="289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268">
        <f t="shared" si="51"/>
        <v>0</v>
      </c>
      <c r="W445" s="238">
        <f t="shared" si="52"/>
        <v>0</v>
      </c>
      <c r="X445" s="36" t="s">
        <v>268</v>
      </c>
      <c r="Y445" s="292"/>
    </row>
    <row r="446" spans="1:25" x14ac:dyDescent="0.25">
      <c r="A446" s="52"/>
      <c r="B446" s="265"/>
      <c r="C446" s="265"/>
      <c r="D446" s="265"/>
      <c r="E446" s="265"/>
      <c r="F446" s="265"/>
      <c r="G446" s="56"/>
      <c r="H446" s="276"/>
      <c r="I446" s="276"/>
      <c r="J446" s="61"/>
      <c r="K446" s="61"/>
      <c r="L446" s="61"/>
      <c r="M446" s="276"/>
      <c r="N446" s="61"/>
      <c r="O446" s="61"/>
      <c r="P446" s="61"/>
      <c r="Q446" s="61"/>
      <c r="R446" s="61"/>
      <c r="S446" s="61"/>
      <c r="T446" s="61"/>
      <c r="U446" s="61"/>
      <c r="V446" s="268">
        <f t="shared" si="51"/>
        <v>0</v>
      </c>
      <c r="W446" s="238">
        <f t="shared" si="52"/>
        <v>0</v>
      </c>
      <c r="X446" s="196" t="s">
        <v>80</v>
      </c>
      <c r="Y446" s="294"/>
    </row>
    <row r="447" spans="1:25" x14ac:dyDescent="0.25">
      <c r="A447" s="52"/>
      <c r="B447" s="265"/>
      <c r="C447" s="265"/>
      <c r="D447" s="265"/>
      <c r="E447" s="265"/>
      <c r="F447" s="265"/>
      <c r="G447" s="56"/>
      <c r="H447" s="276"/>
      <c r="I447" s="61">
        <v>5</v>
      </c>
      <c r="J447" s="61"/>
      <c r="K447" s="61">
        <v>1</v>
      </c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268">
        <f t="shared" si="51"/>
        <v>0</v>
      </c>
      <c r="W447" s="238">
        <f t="shared" si="52"/>
        <v>0</v>
      </c>
      <c r="X447" s="36" t="s">
        <v>92</v>
      </c>
      <c r="Y447" s="147" t="s">
        <v>195</v>
      </c>
    </row>
    <row r="448" spans="1:25" x14ac:dyDescent="0.25">
      <c r="A448" s="52"/>
      <c r="B448" s="265"/>
      <c r="C448" s="265"/>
      <c r="D448" s="265"/>
      <c r="E448" s="265"/>
      <c r="F448" s="265"/>
      <c r="G448" s="266"/>
      <c r="H448" s="267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268">
        <f t="shared" si="51"/>
        <v>0</v>
      </c>
      <c r="W448" s="238">
        <f t="shared" si="52"/>
        <v>0</v>
      </c>
      <c r="X448" s="197" t="s">
        <v>35</v>
      </c>
      <c r="Y448" s="292"/>
    </row>
    <row r="449" spans="1:25" x14ac:dyDescent="0.25">
      <c r="A449" s="52"/>
      <c r="B449" s="265"/>
      <c r="C449" s="265"/>
      <c r="D449" s="265"/>
      <c r="E449" s="265"/>
      <c r="F449" s="265"/>
      <c r="G449" s="266"/>
      <c r="H449" s="267"/>
      <c r="I449" s="61">
        <v>4</v>
      </c>
      <c r="J449" s="61"/>
      <c r="K449" s="61">
        <v>1</v>
      </c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268">
        <f t="shared" si="51"/>
        <v>0</v>
      </c>
      <c r="W449" s="238">
        <f t="shared" si="52"/>
        <v>0</v>
      </c>
      <c r="X449" s="36" t="s">
        <v>12</v>
      </c>
      <c r="Y449" s="292"/>
    </row>
    <row r="450" spans="1:25" x14ac:dyDescent="0.25">
      <c r="A450" s="52"/>
      <c r="B450" s="265"/>
      <c r="C450" s="265"/>
      <c r="D450" s="265"/>
      <c r="E450" s="265"/>
      <c r="F450" s="265" t="s">
        <v>100</v>
      </c>
      <c r="G450" s="266"/>
      <c r="H450" s="273"/>
      <c r="I450" s="66"/>
      <c r="J450" s="66"/>
      <c r="K450" s="66"/>
      <c r="L450" s="66">
        <v>2</v>
      </c>
      <c r="M450" s="66"/>
      <c r="N450" s="66"/>
      <c r="O450" s="66"/>
      <c r="P450" s="66"/>
      <c r="Q450" s="66"/>
      <c r="R450" s="66"/>
      <c r="S450" s="66"/>
      <c r="T450" s="66"/>
      <c r="U450" s="66"/>
      <c r="V450" s="268">
        <f t="shared" si="51"/>
        <v>2</v>
      </c>
      <c r="W450" s="238">
        <f t="shared" si="52"/>
        <v>3.1796502384737681E-3</v>
      </c>
      <c r="X450" s="197" t="s">
        <v>27</v>
      </c>
      <c r="Y450" s="291"/>
    </row>
    <row r="451" spans="1:25" ht="15.75" thickBot="1" x14ac:dyDescent="0.3">
      <c r="A451" s="52"/>
      <c r="B451" s="265"/>
      <c r="C451" s="265"/>
      <c r="D451" s="265"/>
      <c r="E451" s="265"/>
      <c r="F451" s="265"/>
      <c r="G451" s="266"/>
      <c r="H451" s="273"/>
      <c r="I451" s="66">
        <v>1</v>
      </c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268">
        <f>SUM(H451,J451,L451,N451,P451,R451,U451,T451)</f>
        <v>0</v>
      </c>
      <c r="W451" s="258">
        <f>$V451/$D$431</f>
        <v>0</v>
      </c>
      <c r="X451" s="197" t="s">
        <v>9</v>
      </c>
      <c r="Y451" s="292"/>
    </row>
    <row r="452" spans="1:25" ht="15.75" thickBot="1" x14ac:dyDescent="0.3">
      <c r="A452" s="52"/>
      <c r="B452" s="265"/>
      <c r="C452" s="265"/>
      <c r="D452" s="265"/>
      <c r="E452" s="265"/>
      <c r="F452" s="265"/>
      <c r="G452" s="266"/>
      <c r="H452" s="295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296"/>
      <c r="W452" s="166"/>
      <c r="X452" s="74" t="s">
        <v>21</v>
      </c>
      <c r="Y452" s="292"/>
    </row>
    <row r="453" spans="1:25" x14ac:dyDescent="0.25">
      <c r="A453" s="52"/>
      <c r="B453" s="265"/>
      <c r="C453" s="265"/>
      <c r="D453" s="265"/>
      <c r="E453" s="265"/>
      <c r="F453" s="265"/>
      <c r="G453" s="266"/>
      <c r="H453" s="297"/>
      <c r="I453" s="62"/>
      <c r="J453" s="62"/>
      <c r="K453" s="62"/>
      <c r="L453" s="62"/>
      <c r="M453" s="62"/>
      <c r="N453" s="62"/>
      <c r="O453" s="62"/>
      <c r="P453" s="62"/>
      <c r="Q453" s="61"/>
      <c r="R453" s="62"/>
      <c r="S453" s="62"/>
      <c r="T453" s="62"/>
      <c r="U453" s="62"/>
      <c r="V453" s="268">
        <f t="shared" ref="V453:V466" si="53">SUM(H453,J453,L453,N453,P453,R453,U453)</f>
        <v>0</v>
      </c>
      <c r="W453" s="237">
        <f>$V453/$D$431</f>
        <v>0</v>
      </c>
      <c r="X453" s="341" t="s">
        <v>71</v>
      </c>
      <c r="Y453" s="292"/>
    </row>
    <row r="454" spans="1:25" x14ac:dyDescent="0.25">
      <c r="A454" s="52"/>
      <c r="B454" s="265"/>
      <c r="C454" s="265"/>
      <c r="D454" s="265"/>
      <c r="E454" s="265"/>
      <c r="F454" s="265"/>
      <c r="G454" s="266"/>
      <c r="H454" s="267">
        <v>19</v>
      </c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268">
        <f t="shared" si="53"/>
        <v>19</v>
      </c>
      <c r="W454" s="238">
        <f>$V454/$D$431</f>
        <v>3.0206677265500796E-2</v>
      </c>
      <c r="X454" s="101" t="s">
        <v>26</v>
      </c>
      <c r="Y454" s="146"/>
    </row>
    <row r="455" spans="1:25" x14ac:dyDescent="0.25">
      <c r="A455" s="52"/>
      <c r="B455" s="265"/>
      <c r="C455" s="265"/>
      <c r="D455" s="265"/>
      <c r="E455" s="265"/>
      <c r="F455" s="265"/>
      <c r="G455" s="266"/>
      <c r="H455" s="267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268">
        <f t="shared" si="53"/>
        <v>0</v>
      </c>
      <c r="W455" s="238">
        <f t="shared" ref="W455:W464" si="54">$V455/$D$431</f>
        <v>0</v>
      </c>
      <c r="X455" s="338" t="s">
        <v>25</v>
      </c>
      <c r="Y455" s="291"/>
    </row>
    <row r="456" spans="1:25" x14ac:dyDescent="0.25">
      <c r="A456" s="52"/>
      <c r="B456" s="265"/>
      <c r="C456" s="265"/>
      <c r="D456" s="265"/>
      <c r="E456" s="265"/>
      <c r="F456" s="265"/>
      <c r="G456" s="266"/>
      <c r="H456" s="267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268">
        <f t="shared" si="53"/>
        <v>0</v>
      </c>
      <c r="W456" s="238">
        <f t="shared" si="54"/>
        <v>0</v>
      </c>
      <c r="X456" s="338" t="s">
        <v>412</v>
      </c>
      <c r="Y456" s="291"/>
    </row>
    <row r="457" spans="1:25" x14ac:dyDescent="0.25">
      <c r="A457" s="52"/>
      <c r="B457" s="265"/>
      <c r="C457" s="265"/>
      <c r="D457" s="265"/>
      <c r="E457" s="265"/>
      <c r="F457" s="265" t="s">
        <v>100</v>
      </c>
      <c r="G457" s="266"/>
      <c r="H457" s="267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268">
        <f t="shared" si="53"/>
        <v>0</v>
      </c>
      <c r="W457" s="238">
        <f t="shared" si="54"/>
        <v>0</v>
      </c>
      <c r="X457" s="337" t="s">
        <v>51</v>
      </c>
      <c r="Y457" s="291" t="s">
        <v>414</v>
      </c>
    </row>
    <row r="458" spans="1:25" x14ac:dyDescent="0.25">
      <c r="A458" s="52"/>
      <c r="B458" s="265"/>
      <c r="C458" s="265"/>
      <c r="D458" s="265"/>
      <c r="E458" s="265"/>
      <c r="F458" s="265"/>
      <c r="G458" s="266"/>
      <c r="H458" s="267">
        <v>1</v>
      </c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268">
        <f t="shared" si="53"/>
        <v>1</v>
      </c>
      <c r="W458" s="238">
        <f t="shared" si="54"/>
        <v>1.589825119236884E-3</v>
      </c>
      <c r="X458" s="196" t="s">
        <v>12</v>
      </c>
      <c r="Y458" s="291" t="s">
        <v>411</v>
      </c>
    </row>
    <row r="459" spans="1:25" x14ac:dyDescent="0.25">
      <c r="A459" s="52"/>
      <c r="B459" s="265"/>
      <c r="C459" s="265"/>
      <c r="D459" s="265"/>
      <c r="E459" s="265"/>
      <c r="F459" s="265"/>
      <c r="G459" s="266"/>
      <c r="H459" s="267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268">
        <f t="shared" si="53"/>
        <v>0</v>
      </c>
      <c r="W459" s="238">
        <f t="shared" si="54"/>
        <v>0</v>
      </c>
      <c r="X459" s="336" t="s">
        <v>161</v>
      </c>
      <c r="Y459" s="146" t="s">
        <v>415</v>
      </c>
    </row>
    <row r="460" spans="1:25" x14ac:dyDescent="0.25">
      <c r="A460" s="52"/>
      <c r="B460" s="265"/>
      <c r="C460" s="265"/>
      <c r="D460" s="265"/>
      <c r="E460" s="265"/>
      <c r="F460" s="265"/>
      <c r="G460" s="266"/>
      <c r="H460" s="267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268">
        <f t="shared" si="53"/>
        <v>0</v>
      </c>
      <c r="W460" s="238">
        <f t="shared" si="54"/>
        <v>0</v>
      </c>
      <c r="X460" s="338" t="s">
        <v>169</v>
      </c>
      <c r="Y460" s="146"/>
    </row>
    <row r="461" spans="1:25" x14ac:dyDescent="0.25">
      <c r="A461" s="52"/>
      <c r="B461" s="265"/>
      <c r="C461" s="265"/>
      <c r="D461" s="265"/>
      <c r="E461" s="265"/>
      <c r="F461" s="265"/>
      <c r="G461" s="266"/>
      <c r="H461" s="267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268">
        <f t="shared" si="53"/>
        <v>0</v>
      </c>
      <c r="W461" s="238">
        <f t="shared" si="54"/>
        <v>0</v>
      </c>
      <c r="X461" s="338" t="s">
        <v>197</v>
      </c>
      <c r="Y461" s="291"/>
    </row>
    <row r="462" spans="1:25" x14ac:dyDescent="0.25">
      <c r="A462" s="52"/>
      <c r="B462" s="265"/>
      <c r="C462" s="265"/>
      <c r="D462" s="265"/>
      <c r="E462" s="265"/>
      <c r="F462" s="265"/>
      <c r="G462" s="266"/>
      <c r="H462" s="267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268">
        <f t="shared" si="53"/>
        <v>0</v>
      </c>
      <c r="W462" s="238">
        <f t="shared" si="54"/>
        <v>0</v>
      </c>
      <c r="X462" s="338" t="s">
        <v>101</v>
      </c>
      <c r="Y462" s="291"/>
    </row>
    <row r="463" spans="1:25" x14ac:dyDescent="0.25">
      <c r="A463" s="52"/>
      <c r="B463" s="265"/>
      <c r="C463" s="265"/>
      <c r="D463" s="265"/>
      <c r="E463" s="265"/>
      <c r="F463" s="265"/>
      <c r="G463" s="266"/>
      <c r="H463" s="267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>
        <v>1</v>
      </c>
      <c r="V463" s="268">
        <f t="shared" si="53"/>
        <v>1</v>
      </c>
      <c r="W463" s="238">
        <f t="shared" si="54"/>
        <v>1.589825119236884E-3</v>
      </c>
      <c r="X463" s="196" t="s">
        <v>35</v>
      </c>
      <c r="Y463" s="291"/>
    </row>
    <row r="464" spans="1:25" x14ac:dyDescent="0.25">
      <c r="A464" s="52"/>
      <c r="B464" s="265"/>
      <c r="C464" s="265"/>
      <c r="D464" s="265"/>
      <c r="E464" s="265"/>
      <c r="F464" s="265"/>
      <c r="G464" s="266"/>
      <c r="H464" s="267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268">
        <f t="shared" si="53"/>
        <v>0</v>
      </c>
      <c r="W464" s="238">
        <f t="shared" si="54"/>
        <v>0</v>
      </c>
      <c r="X464" s="196" t="s">
        <v>203</v>
      </c>
      <c r="Y464" s="291"/>
    </row>
    <row r="465" spans="1:25" ht="15.75" thickBot="1" x14ac:dyDescent="0.3">
      <c r="A465" s="155"/>
      <c r="B465" s="156"/>
      <c r="C465" s="156"/>
      <c r="D465" s="156"/>
      <c r="E465" s="156"/>
      <c r="F465" s="156"/>
      <c r="G465" s="266"/>
      <c r="H465" s="267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268">
        <f t="shared" si="53"/>
        <v>0</v>
      </c>
      <c r="W465" s="236">
        <f>$V465/$D$431</f>
        <v>0</v>
      </c>
      <c r="X465" s="38" t="s">
        <v>85</v>
      </c>
      <c r="Y465" s="298"/>
    </row>
    <row r="466" spans="1:25" ht="15.75" thickBot="1" x14ac:dyDescent="0.3">
      <c r="A466" s="41"/>
      <c r="B466" s="41"/>
      <c r="C466" s="41"/>
      <c r="D466" s="41"/>
      <c r="E466" s="41"/>
      <c r="F466" s="41"/>
      <c r="G466" s="47" t="s">
        <v>4</v>
      </c>
      <c r="H466" s="57">
        <f>SUM(H432:H465)</f>
        <v>43</v>
      </c>
      <c r="I466" s="57">
        <f>SUM(I432:I465)</f>
        <v>43</v>
      </c>
      <c r="J466" s="57">
        <f t="shared" ref="J466:U466" si="55">SUM(J432:J465)</f>
        <v>10</v>
      </c>
      <c r="K466" s="57">
        <f t="shared" si="55"/>
        <v>6</v>
      </c>
      <c r="L466" s="57">
        <f t="shared" si="55"/>
        <v>9</v>
      </c>
      <c r="M466" s="57">
        <f t="shared" si="55"/>
        <v>0</v>
      </c>
      <c r="N466" s="57">
        <f t="shared" si="55"/>
        <v>0</v>
      </c>
      <c r="O466" s="57">
        <f t="shared" si="55"/>
        <v>0</v>
      </c>
      <c r="P466" s="57">
        <f t="shared" si="55"/>
        <v>0</v>
      </c>
      <c r="Q466" s="57">
        <f t="shared" si="55"/>
        <v>0</v>
      </c>
      <c r="R466" s="57">
        <f t="shared" si="55"/>
        <v>0</v>
      </c>
      <c r="S466" s="57">
        <f t="shared" si="55"/>
        <v>0</v>
      </c>
      <c r="T466" s="57">
        <f t="shared" si="55"/>
        <v>0</v>
      </c>
      <c r="U466" s="57">
        <f t="shared" si="55"/>
        <v>5</v>
      </c>
      <c r="V466" s="288">
        <f t="shared" si="53"/>
        <v>67</v>
      </c>
      <c r="W466" s="328">
        <f>$V466/$D$431</f>
        <v>0.10651828298887123</v>
      </c>
    </row>
    <row r="468" spans="1:25" ht="15.75" thickBot="1" x14ac:dyDescent="0.3"/>
    <row r="469" spans="1:25" ht="60.75" thickBot="1" x14ac:dyDescent="0.3">
      <c r="A469" s="43" t="s">
        <v>22</v>
      </c>
      <c r="B469" s="43" t="s">
        <v>47</v>
      </c>
      <c r="C469" s="43" t="s">
        <v>52</v>
      </c>
      <c r="D469" s="43" t="s">
        <v>17</v>
      </c>
      <c r="E469" s="42" t="s">
        <v>16</v>
      </c>
      <c r="F469" s="44" t="s">
        <v>1</v>
      </c>
      <c r="G469" s="45" t="s">
        <v>23</v>
      </c>
      <c r="H469" s="76" t="s">
        <v>66</v>
      </c>
      <c r="I469" s="46" t="s">
        <v>67</v>
      </c>
      <c r="J469" s="46" t="s">
        <v>53</v>
      </c>
      <c r="K469" s="46" t="s">
        <v>58</v>
      </c>
      <c r="L469" s="46" t="s">
        <v>54</v>
      </c>
      <c r="M469" s="46" t="s">
        <v>59</v>
      </c>
      <c r="N469" s="46" t="s">
        <v>55</v>
      </c>
      <c r="O469" s="46" t="s">
        <v>60</v>
      </c>
      <c r="P469" s="46" t="s">
        <v>56</v>
      </c>
      <c r="Q469" s="46" t="s">
        <v>63</v>
      </c>
      <c r="R469" s="46" t="s">
        <v>57</v>
      </c>
      <c r="S469" s="46" t="s">
        <v>64</v>
      </c>
      <c r="T469" s="46" t="s">
        <v>115</v>
      </c>
      <c r="U469" s="46" t="s">
        <v>41</v>
      </c>
      <c r="V469" s="46" t="s">
        <v>4</v>
      </c>
      <c r="W469" s="42" t="s">
        <v>2</v>
      </c>
      <c r="X469" s="33" t="s">
        <v>20</v>
      </c>
      <c r="Y469" s="32" t="s">
        <v>6</v>
      </c>
    </row>
    <row r="470" spans="1:25" ht="15.75" thickBot="1" x14ac:dyDescent="0.3">
      <c r="A470" s="73">
        <v>1518006</v>
      </c>
      <c r="B470" s="73" t="s">
        <v>179</v>
      </c>
      <c r="C470" s="317">
        <v>576</v>
      </c>
      <c r="D470" s="317">
        <v>594</v>
      </c>
      <c r="E470" s="317">
        <v>558</v>
      </c>
      <c r="F470" s="318">
        <f>E470/D470</f>
        <v>0.93939393939393945</v>
      </c>
      <c r="G470" s="48">
        <v>45372</v>
      </c>
      <c r="H470" s="82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4"/>
      <c r="T470" s="296"/>
      <c r="U470" s="115"/>
      <c r="V470" s="115"/>
      <c r="W470" s="84"/>
      <c r="X470" s="86" t="s">
        <v>75</v>
      </c>
      <c r="Y470" s="353" t="s">
        <v>191</v>
      </c>
    </row>
    <row r="471" spans="1:25" x14ac:dyDescent="0.25">
      <c r="A471" s="52"/>
      <c r="B471" s="265"/>
      <c r="C471" s="265"/>
      <c r="D471" s="265"/>
      <c r="E471" s="265"/>
      <c r="F471" s="265"/>
      <c r="G471" s="481"/>
      <c r="H471" s="262"/>
      <c r="I471" s="59">
        <v>5</v>
      </c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286">
        <f>SUM(H471,J471,L471,N471,P471,R471,U471,T471)</f>
        <v>0</v>
      </c>
      <c r="W471" s="237">
        <f>$V471/$D$470</f>
        <v>0</v>
      </c>
      <c r="X471" s="35" t="s">
        <v>18</v>
      </c>
      <c r="Y471" s="260"/>
    </row>
    <row r="472" spans="1:25" x14ac:dyDescent="0.25">
      <c r="A472" s="52"/>
      <c r="B472" s="265"/>
      <c r="C472" s="265"/>
      <c r="D472" s="265"/>
      <c r="E472" s="265"/>
      <c r="F472" s="265"/>
      <c r="G472" s="266"/>
      <c r="H472" s="267">
        <v>1</v>
      </c>
      <c r="I472" s="61"/>
      <c r="J472" s="61"/>
      <c r="K472" s="61"/>
      <c r="L472" s="61"/>
      <c r="M472" s="61"/>
      <c r="N472" s="66"/>
      <c r="O472" s="61"/>
      <c r="P472" s="61"/>
      <c r="Q472" s="61"/>
      <c r="R472" s="61"/>
      <c r="S472" s="61"/>
      <c r="T472" s="61"/>
      <c r="U472" s="61"/>
      <c r="V472" s="268">
        <f>SUM(H472,J472,L472,N472,P472,R472,U472,T472)</f>
        <v>1</v>
      </c>
      <c r="W472" s="238">
        <f>$V472/$D$470</f>
        <v>1.6835016835016834E-3</v>
      </c>
      <c r="X472" s="196" t="s">
        <v>48</v>
      </c>
      <c r="Y472" s="260"/>
    </row>
    <row r="473" spans="1:25" x14ac:dyDescent="0.25">
      <c r="A473" s="52"/>
      <c r="B473" s="265"/>
      <c r="C473" s="265"/>
      <c r="D473" s="265"/>
      <c r="E473" s="265"/>
      <c r="F473" s="265"/>
      <c r="G473" s="266"/>
      <c r="H473" s="267">
        <v>4</v>
      </c>
      <c r="I473" s="61"/>
      <c r="J473" s="61">
        <v>1</v>
      </c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268">
        <f t="shared" ref="V473:V490" si="56">SUM(H473,J473,L473,N473,P473,R473,U473,T473)</f>
        <v>5</v>
      </c>
      <c r="W473" s="238">
        <f t="shared" ref="W473:W490" si="57">$V473/$D$470</f>
        <v>8.4175084175084174E-3</v>
      </c>
      <c r="X473" s="36" t="s">
        <v>15</v>
      </c>
      <c r="Y473" s="282"/>
    </row>
    <row r="474" spans="1:25" x14ac:dyDescent="0.25">
      <c r="A474" s="52"/>
      <c r="B474" s="265"/>
      <c r="C474" s="265"/>
      <c r="D474" s="265"/>
      <c r="E474" s="265"/>
      <c r="F474" s="265"/>
      <c r="G474" s="266"/>
      <c r="H474" s="267"/>
      <c r="I474" s="61"/>
      <c r="J474" s="290">
        <v>1</v>
      </c>
      <c r="K474" s="290"/>
      <c r="L474" s="290"/>
      <c r="M474" s="61"/>
      <c r="N474" s="61"/>
      <c r="O474" s="61"/>
      <c r="P474" s="61"/>
      <c r="Q474" s="61"/>
      <c r="R474" s="61"/>
      <c r="S474" s="61"/>
      <c r="T474" s="61"/>
      <c r="U474" s="61"/>
      <c r="V474" s="268">
        <f t="shared" si="56"/>
        <v>1</v>
      </c>
      <c r="W474" s="238">
        <f t="shared" si="57"/>
        <v>1.6835016835016834E-3</v>
      </c>
      <c r="X474" s="338" t="s">
        <v>413</v>
      </c>
      <c r="Y474" s="282"/>
    </row>
    <row r="475" spans="1:25" x14ac:dyDescent="0.25">
      <c r="A475" s="52"/>
      <c r="B475" s="265"/>
      <c r="C475" s="265"/>
      <c r="D475" s="265"/>
      <c r="E475" s="265"/>
      <c r="F475" s="265"/>
      <c r="G475" s="266"/>
      <c r="H475" s="267"/>
      <c r="I475" s="61">
        <v>1</v>
      </c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268">
        <f t="shared" si="56"/>
        <v>0</v>
      </c>
      <c r="W475" s="238">
        <f t="shared" si="57"/>
        <v>0</v>
      </c>
      <c r="X475" s="36" t="s">
        <v>13</v>
      </c>
      <c r="Y475" s="146"/>
    </row>
    <row r="476" spans="1:25" x14ac:dyDescent="0.25">
      <c r="A476" s="52"/>
      <c r="B476" s="265"/>
      <c r="C476" s="265"/>
      <c r="D476" s="265"/>
      <c r="E476" s="265"/>
      <c r="F476" s="265"/>
      <c r="G476" s="266"/>
      <c r="H476" s="267"/>
      <c r="I476" s="61">
        <v>5</v>
      </c>
      <c r="J476" s="61">
        <v>4</v>
      </c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>
        <v>2</v>
      </c>
      <c r="V476" s="268">
        <f t="shared" si="56"/>
        <v>6</v>
      </c>
      <c r="W476" s="238">
        <f t="shared" si="57"/>
        <v>1.0101010101010102E-2</v>
      </c>
      <c r="X476" s="36" t="s">
        <v>14</v>
      </c>
      <c r="Y476" s="264"/>
    </row>
    <row r="477" spans="1:25" x14ac:dyDescent="0.25">
      <c r="A477" s="52" t="s">
        <v>157</v>
      </c>
      <c r="B477" s="265"/>
      <c r="C477" s="265"/>
      <c r="D477" s="265"/>
      <c r="E477" s="265"/>
      <c r="F477" s="265"/>
      <c r="G477" s="266"/>
      <c r="H477" s="267"/>
      <c r="I477" s="61">
        <v>1</v>
      </c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268">
        <f t="shared" si="56"/>
        <v>0</v>
      </c>
      <c r="W477" s="238">
        <f t="shared" si="57"/>
        <v>0</v>
      </c>
      <c r="X477" s="36" t="s">
        <v>7</v>
      </c>
      <c r="Y477" s="264"/>
    </row>
    <row r="478" spans="1:25" x14ac:dyDescent="0.25">
      <c r="A478" s="52"/>
      <c r="B478" s="265"/>
      <c r="C478" s="265"/>
      <c r="D478" s="265"/>
      <c r="E478" s="265"/>
      <c r="F478" s="265"/>
      <c r="G478" s="266"/>
      <c r="H478" s="267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268">
        <f t="shared" si="56"/>
        <v>0</v>
      </c>
      <c r="W478" s="238">
        <f t="shared" si="57"/>
        <v>0</v>
      </c>
      <c r="X478" s="36" t="s">
        <v>8</v>
      </c>
      <c r="Y478" s="291"/>
    </row>
    <row r="479" spans="1:25" x14ac:dyDescent="0.25">
      <c r="A479" s="52"/>
      <c r="B479" s="265"/>
      <c r="C479" s="265"/>
      <c r="D479" s="265"/>
      <c r="E479" s="265"/>
      <c r="F479" s="265"/>
      <c r="G479" s="266"/>
      <c r="H479" s="285"/>
      <c r="I479" s="61">
        <v>3</v>
      </c>
      <c r="J479" s="61">
        <v>2</v>
      </c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268">
        <f t="shared" si="56"/>
        <v>2</v>
      </c>
      <c r="W479" s="238">
        <f t="shared" si="57"/>
        <v>3.3670033670033669E-3</v>
      </c>
      <c r="X479" s="36" t="s">
        <v>68</v>
      </c>
      <c r="Y479" s="291"/>
    </row>
    <row r="480" spans="1:25" x14ac:dyDescent="0.25">
      <c r="A480" s="52"/>
      <c r="B480" s="265"/>
      <c r="C480" s="265"/>
      <c r="D480" s="265"/>
      <c r="E480" s="265"/>
      <c r="F480" s="265"/>
      <c r="G480" s="266"/>
      <c r="H480" s="285"/>
      <c r="I480" s="61">
        <v>3</v>
      </c>
      <c r="J480" s="61">
        <v>1</v>
      </c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268">
        <f t="shared" si="56"/>
        <v>1</v>
      </c>
      <c r="W480" s="238">
        <f t="shared" si="57"/>
        <v>1.6835016835016834E-3</v>
      </c>
      <c r="X480" s="36" t="s">
        <v>0</v>
      </c>
      <c r="Y480" s="292"/>
    </row>
    <row r="481" spans="1:25" x14ac:dyDescent="0.25">
      <c r="A481" s="52"/>
      <c r="B481" s="265"/>
      <c r="C481" s="265"/>
      <c r="D481" s="265"/>
      <c r="E481" s="265"/>
      <c r="F481" s="265"/>
      <c r="G481" s="266"/>
      <c r="H481" s="285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268">
        <f t="shared" si="56"/>
        <v>0</v>
      </c>
      <c r="W481" s="238">
        <f t="shared" si="57"/>
        <v>0</v>
      </c>
      <c r="X481" s="36" t="s">
        <v>19</v>
      </c>
      <c r="Y481" s="292"/>
    </row>
    <row r="482" spans="1:25" x14ac:dyDescent="0.25">
      <c r="A482" s="52"/>
      <c r="B482" s="265"/>
      <c r="C482" s="265"/>
      <c r="D482" s="265"/>
      <c r="E482" s="265"/>
      <c r="F482" s="265" t="s">
        <v>100</v>
      </c>
      <c r="G482" s="266"/>
      <c r="H482" s="285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268">
        <f t="shared" si="56"/>
        <v>0</v>
      </c>
      <c r="W482" s="238">
        <f t="shared" si="57"/>
        <v>0</v>
      </c>
      <c r="X482" s="36" t="s">
        <v>3</v>
      </c>
      <c r="Y482" s="292"/>
    </row>
    <row r="483" spans="1:25" x14ac:dyDescent="0.25">
      <c r="A483" s="303"/>
      <c r="B483" s="305"/>
      <c r="C483" s="305"/>
      <c r="D483" s="305"/>
      <c r="E483" s="305"/>
      <c r="F483" s="305"/>
      <c r="G483" s="304"/>
      <c r="H483" s="293"/>
      <c r="I483" s="61">
        <v>28</v>
      </c>
      <c r="J483" s="66">
        <v>3</v>
      </c>
      <c r="K483" s="66"/>
      <c r="L483" s="66"/>
      <c r="M483" s="61"/>
      <c r="N483" s="66"/>
      <c r="O483" s="66"/>
      <c r="P483" s="66"/>
      <c r="Q483" s="66"/>
      <c r="R483" s="66"/>
      <c r="S483" s="66"/>
      <c r="T483" s="66"/>
      <c r="U483" s="66"/>
      <c r="V483" s="268">
        <f t="shared" si="56"/>
        <v>3</v>
      </c>
      <c r="W483" s="238">
        <f t="shared" si="57"/>
        <v>5.0505050505050509E-3</v>
      </c>
      <c r="X483" s="36" t="s">
        <v>199</v>
      </c>
      <c r="Y483" s="292"/>
    </row>
    <row r="484" spans="1:25" x14ac:dyDescent="0.25">
      <c r="A484" s="303"/>
      <c r="B484" s="305"/>
      <c r="C484" s="305"/>
      <c r="D484" s="305"/>
      <c r="E484" s="305"/>
      <c r="F484" s="305"/>
      <c r="G484" s="304"/>
      <c r="H484" s="289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268">
        <f t="shared" si="56"/>
        <v>0</v>
      </c>
      <c r="W484" s="238">
        <f t="shared" si="57"/>
        <v>0</v>
      </c>
      <c r="X484" s="36" t="s">
        <v>268</v>
      </c>
      <c r="Y484" s="292"/>
    </row>
    <row r="485" spans="1:25" x14ac:dyDescent="0.25">
      <c r="A485" s="52"/>
      <c r="B485" s="265"/>
      <c r="C485" s="265"/>
      <c r="D485" s="265"/>
      <c r="E485" s="265"/>
      <c r="F485" s="265"/>
      <c r="G485" s="56"/>
      <c r="H485" s="276"/>
      <c r="I485" s="276"/>
      <c r="J485" s="61"/>
      <c r="K485" s="61"/>
      <c r="L485" s="61"/>
      <c r="M485" s="276"/>
      <c r="N485" s="61"/>
      <c r="O485" s="61"/>
      <c r="P485" s="61"/>
      <c r="Q485" s="61"/>
      <c r="R485" s="61"/>
      <c r="S485" s="61"/>
      <c r="T485" s="61"/>
      <c r="U485" s="61"/>
      <c r="V485" s="268">
        <f t="shared" si="56"/>
        <v>0</v>
      </c>
      <c r="W485" s="238">
        <f t="shared" si="57"/>
        <v>0</v>
      </c>
      <c r="X485" s="196" t="s">
        <v>80</v>
      </c>
      <c r="Y485" s="294"/>
    </row>
    <row r="486" spans="1:25" x14ac:dyDescent="0.25">
      <c r="A486" s="52"/>
      <c r="B486" s="265"/>
      <c r="C486" s="265"/>
      <c r="D486" s="265"/>
      <c r="E486" s="265"/>
      <c r="F486" s="265"/>
      <c r="G486" s="56"/>
      <c r="H486" s="276"/>
      <c r="I486" s="61">
        <v>7</v>
      </c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268">
        <f t="shared" si="56"/>
        <v>0</v>
      </c>
      <c r="W486" s="238">
        <f t="shared" si="57"/>
        <v>0</v>
      </c>
      <c r="X486" s="36" t="s">
        <v>92</v>
      </c>
      <c r="Y486" s="147" t="s">
        <v>349</v>
      </c>
    </row>
    <row r="487" spans="1:25" x14ac:dyDescent="0.25">
      <c r="A487" s="52"/>
      <c r="B487" s="265"/>
      <c r="C487" s="265"/>
      <c r="D487" s="265"/>
      <c r="E487" s="265"/>
      <c r="F487" s="265"/>
      <c r="G487" s="266"/>
      <c r="H487" s="267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268">
        <f t="shared" si="56"/>
        <v>0</v>
      </c>
      <c r="W487" s="238">
        <f t="shared" si="57"/>
        <v>0</v>
      </c>
      <c r="X487" s="197" t="s">
        <v>35</v>
      </c>
      <c r="Y487" s="292"/>
    </row>
    <row r="488" spans="1:25" x14ac:dyDescent="0.25">
      <c r="A488" s="52"/>
      <c r="B488" s="265"/>
      <c r="C488" s="265"/>
      <c r="D488" s="265"/>
      <c r="E488" s="265"/>
      <c r="F488" s="265"/>
      <c r="G488" s="266"/>
      <c r="H488" s="267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268">
        <f t="shared" si="56"/>
        <v>0</v>
      </c>
      <c r="W488" s="238">
        <f t="shared" si="57"/>
        <v>0</v>
      </c>
      <c r="X488" s="36" t="s">
        <v>12</v>
      </c>
      <c r="Y488" s="292"/>
    </row>
    <row r="489" spans="1:25" x14ac:dyDescent="0.25">
      <c r="A489" s="52"/>
      <c r="B489" s="265"/>
      <c r="C489" s="265"/>
      <c r="D489" s="265"/>
      <c r="E489" s="265"/>
      <c r="F489" s="265" t="s">
        <v>100</v>
      </c>
      <c r="G489" s="266"/>
      <c r="H489" s="273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268">
        <f t="shared" si="56"/>
        <v>0</v>
      </c>
      <c r="W489" s="238">
        <f t="shared" si="57"/>
        <v>0</v>
      </c>
      <c r="X489" s="197" t="s">
        <v>27</v>
      </c>
      <c r="Y489" s="291"/>
    </row>
    <row r="490" spans="1:25" x14ac:dyDescent="0.25">
      <c r="A490" s="52"/>
      <c r="B490" s="265"/>
      <c r="C490" s="265"/>
      <c r="D490" s="265"/>
      <c r="E490" s="265"/>
      <c r="F490" s="265"/>
      <c r="G490" s="266"/>
      <c r="H490" s="273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>
        <v>2</v>
      </c>
      <c r="V490" s="268">
        <f t="shared" si="56"/>
        <v>2</v>
      </c>
      <c r="W490" s="238">
        <f t="shared" si="57"/>
        <v>3.3670033670033669E-3</v>
      </c>
      <c r="X490" s="197" t="s">
        <v>205</v>
      </c>
      <c r="Y490" s="291"/>
    </row>
    <row r="491" spans="1:25" ht="15.75" thickBot="1" x14ac:dyDescent="0.3">
      <c r="A491" s="52"/>
      <c r="B491" s="265"/>
      <c r="C491" s="265"/>
      <c r="D491" s="265"/>
      <c r="E491" s="265"/>
      <c r="F491" s="265"/>
      <c r="G491" s="266"/>
      <c r="H491" s="273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>
        <v>1</v>
      </c>
      <c r="V491" s="268">
        <f>SUM(H491,J491,L491,N491,P491,R491,U491,T491)</f>
        <v>1</v>
      </c>
      <c r="W491" s="258">
        <f>$V491/$D$470</f>
        <v>1.6835016835016834E-3</v>
      </c>
      <c r="X491" s="197" t="s">
        <v>9</v>
      </c>
      <c r="Y491" s="292"/>
    </row>
    <row r="492" spans="1:25" ht="15.75" thickBot="1" x14ac:dyDescent="0.3">
      <c r="A492" s="52"/>
      <c r="B492" s="265"/>
      <c r="C492" s="265"/>
      <c r="D492" s="265"/>
      <c r="E492" s="265"/>
      <c r="F492" s="265"/>
      <c r="G492" s="266"/>
      <c r="H492" s="295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296"/>
      <c r="W492" s="166"/>
      <c r="X492" s="74" t="s">
        <v>21</v>
      </c>
      <c r="Y492" s="292"/>
    </row>
    <row r="493" spans="1:25" x14ac:dyDescent="0.25">
      <c r="A493" s="52"/>
      <c r="B493" s="265"/>
      <c r="C493" s="265"/>
      <c r="D493" s="265"/>
      <c r="E493" s="265"/>
      <c r="F493" s="265"/>
      <c r="G493" s="266"/>
      <c r="H493" s="297">
        <v>1</v>
      </c>
      <c r="I493" s="62"/>
      <c r="J493" s="62"/>
      <c r="K493" s="62"/>
      <c r="L493" s="62"/>
      <c r="M493" s="62"/>
      <c r="N493" s="62"/>
      <c r="O493" s="62"/>
      <c r="P493" s="62"/>
      <c r="Q493" s="61"/>
      <c r="R493" s="62"/>
      <c r="S493" s="62"/>
      <c r="T493" s="62"/>
      <c r="U493" s="62"/>
      <c r="V493" s="268">
        <f t="shared" ref="V493:V506" si="58">SUM(H493,J493,L493,N493,P493,R493,U493)</f>
        <v>1</v>
      </c>
      <c r="W493" s="237">
        <f>$V493/$D$470</f>
        <v>1.6835016835016834E-3</v>
      </c>
      <c r="X493" s="341" t="s">
        <v>71</v>
      </c>
      <c r="Y493" s="292"/>
    </row>
    <row r="494" spans="1:25" x14ac:dyDescent="0.25">
      <c r="A494" s="52"/>
      <c r="B494" s="265"/>
      <c r="C494" s="265"/>
      <c r="D494" s="265"/>
      <c r="E494" s="265"/>
      <c r="F494" s="265"/>
      <c r="G494" s="266"/>
      <c r="H494" s="267">
        <v>10</v>
      </c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268">
        <f t="shared" si="58"/>
        <v>10</v>
      </c>
      <c r="W494" s="238">
        <f>$V494/$D$470</f>
        <v>1.6835016835016835E-2</v>
      </c>
      <c r="X494" s="101" t="s">
        <v>26</v>
      </c>
      <c r="Y494" s="146"/>
    </row>
    <row r="495" spans="1:25" x14ac:dyDescent="0.25">
      <c r="A495" s="52"/>
      <c r="B495" s="265"/>
      <c r="C495" s="265"/>
      <c r="D495" s="265"/>
      <c r="E495" s="265"/>
      <c r="F495" s="265"/>
      <c r="G495" s="266"/>
      <c r="H495" s="267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268">
        <f t="shared" si="58"/>
        <v>0</v>
      </c>
      <c r="W495" s="238">
        <f t="shared" ref="W495:W504" si="59">$V495/$D$470</f>
        <v>0</v>
      </c>
      <c r="X495" s="338" t="s">
        <v>25</v>
      </c>
      <c r="Y495" s="291"/>
    </row>
    <row r="496" spans="1:25" x14ac:dyDescent="0.25">
      <c r="A496" s="52"/>
      <c r="B496" s="265"/>
      <c r="C496" s="265"/>
      <c r="D496" s="265"/>
      <c r="E496" s="265"/>
      <c r="F496" s="265"/>
      <c r="G496" s="266"/>
      <c r="H496" s="267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268">
        <f t="shared" si="58"/>
        <v>0</v>
      </c>
      <c r="W496" s="238">
        <f t="shared" si="59"/>
        <v>0</v>
      </c>
      <c r="X496" s="338" t="s">
        <v>412</v>
      </c>
      <c r="Y496" s="291" t="s">
        <v>440</v>
      </c>
    </row>
    <row r="497" spans="1:25" x14ac:dyDescent="0.25">
      <c r="A497" s="52"/>
      <c r="B497" s="265"/>
      <c r="C497" s="265"/>
      <c r="D497" s="265"/>
      <c r="E497" s="265"/>
      <c r="F497" s="265" t="s">
        <v>100</v>
      </c>
      <c r="G497" s="266"/>
      <c r="H497" s="267">
        <v>1</v>
      </c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268">
        <f t="shared" si="58"/>
        <v>1</v>
      </c>
      <c r="W497" s="238">
        <f t="shared" si="59"/>
        <v>1.6835016835016834E-3</v>
      </c>
      <c r="X497" s="337" t="s">
        <v>51</v>
      </c>
      <c r="Y497" s="291" t="s">
        <v>441</v>
      </c>
    </row>
    <row r="498" spans="1:25" x14ac:dyDescent="0.25">
      <c r="A498" s="52"/>
      <c r="B498" s="265"/>
      <c r="C498" s="265"/>
      <c r="D498" s="265"/>
      <c r="E498" s="265"/>
      <c r="F498" s="265"/>
      <c r="G498" s="266"/>
      <c r="H498" s="267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268">
        <f t="shared" si="58"/>
        <v>0</v>
      </c>
      <c r="W498" s="238">
        <f t="shared" si="59"/>
        <v>0</v>
      </c>
      <c r="X498" s="196" t="s">
        <v>12</v>
      </c>
      <c r="Y498" s="291"/>
    </row>
    <row r="499" spans="1:25" x14ac:dyDescent="0.25">
      <c r="A499" s="52"/>
      <c r="B499" s="265"/>
      <c r="C499" s="265"/>
      <c r="D499" s="265"/>
      <c r="E499" s="265"/>
      <c r="F499" s="265"/>
      <c r="G499" s="266"/>
      <c r="H499" s="267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268">
        <f t="shared" si="58"/>
        <v>0</v>
      </c>
      <c r="W499" s="238">
        <f t="shared" si="59"/>
        <v>0</v>
      </c>
      <c r="X499" s="336" t="s">
        <v>161</v>
      </c>
      <c r="Y499" s="146"/>
    </row>
    <row r="500" spans="1:25" x14ac:dyDescent="0.25">
      <c r="A500" s="52"/>
      <c r="B500" s="265"/>
      <c r="C500" s="265"/>
      <c r="D500" s="265"/>
      <c r="E500" s="265"/>
      <c r="F500" s="265"/>
      <c r="G500" s="266"/>
      <c r="H500" s="267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268">
        <f t="shared" si="58"/>
        <v>0</v>
      </c>
      <c r="W500" s="238">
        <f t="shared" si="59"/>
        <v>0</v>
      </c>
      <c r="X500" s="338" t="s">
        <v>169</v>
      </c>
      <c r="Y500" s="146"/>
    </row>
    <row r="501" spans="1:25" x14ac:dyDescent="0.25">
      <c r="A501" s="52"/>
      <c r="B501" s="265"/>
      <c r="C501" s="265"/>
      <c r="D501" s="265"/>
      <c r="E501" s="265"/>
      <c r="F501" s="265"/>
      <c r="G501" s="266"/>
      <c r="H501" s="267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268">
        <f t="shared" si="58"/>
        <v>0</v>
      </c>
      <c r="W501" s="238">
        <f t="shared" si="59"/>
        <v>0</v>
      </c>
      <c r="X501" s="338" t="s">
        <v>197</v>
      </c>
      <c r="Y501" s="291"/>
    </row>
    <row r="502" spans="1:25" x14ac:dyDescent="0.25">
      <c r="A502" s="52"/>
      <c r="B502" s="265"/>
      <c r="C502" s="265"/>
      <c r="D502" s="265"/>
      <c r="E502" s="265"/>
      <c r="F502" s="265"/>
      <c r="G502" s="266"/>
      <c r="H502" s="267">
        <v>1</v>
      </c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268">
        <f t="shared" si="58"/>
        <v>1</v>
      </c>
      <c r="W502" s="238">
        <f t="shared" si="59"/>
        <v>1.6835016835016834E-3</v>
      </c>
      <c r="X502" s="338" t="s">
        <v>101</v>
      </c>
      <c r="Y502" s="291"/>
    </row>
    <row r="503" spans="1:25" x14ac:dyDescent="0.25">
      <c r="A503" s="52"/>
      <c r="B503" s="265"/>
      <c r="C503" s="265"/>
      <c r="D503" s="265"/>
      <c r="E503" s="265"/>
      <c r="F503" s="265"/>
      <c r="G503" s="266"/>
      <c r="H503" s="267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268">
        <f t="shared" si="58"/>
        <v>0</v>
      </c>
      <c r="W503" s="238">
        <f t="shared" si="59"/>
        <v>0</v>
      </c>
      <c r="X503" s="196" t="s">
        <v>35</v>
      </c>
      <c r="Y503" s="291"/>
    </row>
    <row r="504" spans="1:25" x14ac:dyDescent="0.25">
      <c r="A504" s="52"/>
      <c r="B504" s="265"/>
      <c r="C504" s="265"/>
      <c r="D504" s="265"/>
      <c r="E504" s="265"/>
      <c r="F504" s="265"/>
      <c r="G504" s="266"/>
      <c r="H504" s="267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>
        <v>1</v>
      </c>
      <c r="V504" s="268">
        <f t="shared" si="58"/>
        <v>1</v>
      </c>
      <c r="W504" s="238">
        <f t="shared" si="59"/>
        <v>1.6835016835016834E-3</v>
      </c>
      <c r="X504" s="196" t="s">
        <v>203</v>
      </c>
      <c r="Y504" s="291"/>
    </row>
    <row r="505" spans="1:25" ht="15.75" thickBot="1" x14ac:dyDescent="0.3">
      <c r="A505" s="155"/>
      <c r="B505" s="156"/>
      <c r="C505" s="156"/>
      <c r="D505" s="156"/>
      <c r="E505" s="156"/>
      <c r="F505" s="156"/>
      <c r="G505" s="266"/>
      <c r="H505" s="267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268">
        <f t="shared" si="58"/>
        <v>0</v>
      </c>
      <c r="W505" s="236">
        <f>$V505/$D$470</f>
        <v>0</v>
      </c>
      <c r="X505" s="38" t="s">
        <v>85</v>
      </c>
      <c r="Y505" s="298"/>
    </row>
    <row r="506" spans="1:25" ht="15.75" thickBot="1" x14ac:dyDescent="0.3">
      <c r="A506" s="41"/>
      <c r="B506" s="41"/>
      <c r="C506" s="41"/>
      <c r="D506" s="41"/>
      <c r="E506" s="41"/>
      <c r="F506" s="41"/>
      <c r="G506" s="47" t="s">
        <v>4</v>
      </c>
      <c r="H506" s="57">
        <f t="shared" ref="H506:U506" si="60">SUM(H471:H505)</f>
        <v>18</v>
      </c>
      <c r="I506" s="57">
        <f t="shared" si="60"/>
        <v>53</v>
      </c>
      <c r="J506" s="57">
        <f t="shared" si="60"/>
        <v>12</v>
      </c>
      <c r="K506" s="57">
        <f t="shared" si="60"/>
        <v>0</v>
      </c>
      <c r="L506" s="57">
        <f t="shared" si="60"/>
        <v>0</v>
      </c>
      <c r="M506" s="57">
        <f t="shared" si="60"/>
        <v>0</v>
      </c>
      <c r="N506" s="57">
        <f t="shared" si="60"/>
        <v>0</v>
      </c>
      <c r="O506" s="57">
        <f t="shared" si="60"/>
        <v>0</v>
      </c>
      <c r="P506" s="57">
        <f t="shared" si="60"/>
        <v>0</v>
      </c>
      <c r="Q506" s="57">
        <f t="shared" si="60"/>
        <v>0</v>
      </c>
      <c r="R506" s="57">
        <f t="shared" si="60"/>
        <v>0</v>
      </c>
      <c r="S506" s="57">
        <f t="shared" si="60"/>
        <v>0</v>
      </c>
      <c r="T506" s="57">
        <f t="shared" si="60"/>
        <v>0</v>
      </c>
      <c r="U506" s="57">
        <f t="shared" si="60"/>
        <v>6</v>
      </c>
      <c r="V506" s="288">
        <f t="shared" si="58"/>
        <v>36</v>
      </c>
      <c r="W506" s="328">
        <f>$V506/$D$470</f>
        <v>6.0606060606060608E-2</v>
      </c>
    </row>
    <row r="508" spans="1:25" ht="15.75" thickBot="1" x14ac:dyDescent="0.3"/>
    <row r="509" spans="1:25" ht="60.75" thickBot="1" x14ac:dyDescent="0.3">
      <c r="A509" s="43" t="s">
        <v>22</v>
      </c>
      <c r="B509" s="43" t="s">
        <v>47</v>
      </c>
      <c r="C509" s="43" t="s">
        <v>52</v>
      </c>
      <c r="D509" s="43" t="s">
        <v>17</v>
      </c>
      <c r="E509" s="42" t="s">
        <v>16</v>
      </c>
      <c r="F509" s="44" t="s">
        <v>1</v>
      </c>
      <c r="G509" s="45" t="s">
        <v>23</v>
      </c>
      <c r="H509" s="76" t="s">
        <v>66</v>
      </c>
      <c r="I509" s="46" t="s">
        <v>67</v>
      </c>
      <c r="J509" s="46" t="s">
        <v>53</v>
      </c>
      <c r="K509" s="46" t="s">
        <v>58</v>
      </c>
      <c r="L509" s="46" t="s">
        <v>54</v>
      </c>
      <c r="M509" s="46" t="s">
        <v>59</v>
      </c>
      <c r="N509" s="46" t="s">
        <v>55</v>
      </c>
      <c r="O509" s="46" t="s">
        <v>60</v>
      </c>
      <c r="P509" s="46" t="s">
        <v>56</v>
      </c>
      <c r="Q509" s="46" t="s">
        <v>63</v>
      </c>
      <c r="R509" s="46" t="s">
        <v>57</v>
      </c>
      <c r="S509" s="46" t="s">
        <v>64</v>
      </c>
      <c r="T509" s="46" t="s">
        <v>115</v>
      </c>
      <c r="U509" s="46" t="s">
        <v>41</v>
      </c>
      <c r="V509" s="46" t="s">
        <v>4</v>
      </c>
      <c r="W509" s="42" t="s">
        <v>2</v>
      </c>
      <c r="X509" s="33" t="s">
        <v>20</v>
      </c>
      <c r="Y509" s="32" t="s">
        <v>6</v>
      </c>
    </row>
    <row r="510" spans="1:25" ht="15.75" thickBot="1" x14ac:dyDescent="0.3">
      <c r="A510" s="73">
        <v>1519772</v>
      </c>
      <c r="B510" s="73" t="s">
        <v>179</v>
      </c>
      <c r="C510" s="317">
        <v>576</v>
      </c>
      <c r="D510" s="317">
        <v>620</v>
      </c>
      <c r="E510" s="317">
        <v>572</v>
      </c>
      <c r="F510" s="318">
        <f>E510/D510</f>
        <v>0.92258064516129035</v>
      </c>
      <c r="G510" s="48">
        <v>45378</v>
      </c>
      <c r="H510" s="82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4"/>
      <c r="T510" s="296"/>
      <c r="U510" s="115"/>
      <c r="V510" s="115"/>
      <c r="W510" s="84"/>
      <c r="X510" s="86" t="s">
        <v>75</v>
      </c>
      <c r="Y510" s="353" t="s">
        <v>191</v>
      </c>
    </row>
    <row r="511" spans="1:25" x14ac:dyDescent="0.25">
      <c r="A511" s="52"/>
      <c r="B511" s="265"/>
      <c r="C511" s="265"/>
      <c r="D511" s="265"/>
      <c r="E511" s="265"/>
      <c r="F511" s="265"/>
      <c r="G511" s="481"/>
      <c r="H511" s="262"/>
      <c r="I511" s="59">
        <v>22</v>
      </c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286">
        <f>SUM(H511,J511,L511,N511,P511,R511,U511,T511)</f>
        <v>0</v>
      </c>
      <c r="W511" s="237">
        <f>$V511/$D$510</f>
        <v>0</v>
      </c>
      <c r="X511" s="35" t="s">
        <v>18</v>
      </c>
      <c r="Y511" s="260"/>
    </row>
    <row r="512" spans="1:25" x14ac:dyDescent="0.25">
      <c r="A512" s="52"/>
      <c r="B512" s="265"/>
      <c r="C512" s="265"/>
      <c r="D512" s="265"/>
      <c r="E512" s="265"/>
      <c r="F512" s="265"/>
      <c r="G512" s="266"/>
      <c r="H512" s="267">
        <v>5</v>
      </c>
      <c r="I512" s="61"/>
      <c r="J512" s="61"/>
      <c r="K512" s="61"/>
      <c r="L512" s="61"/>
      <c r="M512" s="61"/>
      <c r="N512" s="66"/>
      <c r="O512" s="61"/>
      <c r="P512" s="61"/>
      <c r="Q512" s="61"/>
      <c r="R512" s="61"/>
      <c r="S512" s="61"/>
      <c r="T512" s="61"/>
      <c r="U512" s="61"/>
      <c r="V512" s="268">
        <f>SUM(H512,J512,L512,N512,P512,R512,U512,T512)</f>
        <v>5</v>
      </c>
      <c r="W512" s="238">
        <f>$V512/$D$510</f>
        <v>8.0645161290322578E-3</v>
      </c>
      <c r="X512" s="196" t="s">
        <v>48</v>
      </c>
      <c r="Y512" s="260"/>
    </row>
    <row r="513" spans="1:25" x14ac:dyDescent="0.25">
      <c r="A513" s="52"/>
      <c r="B513" s="265"/>
      <c r="C513" s="265"/>
      <c r="D513" s="265"/>
      <c r="E513" s="265"/>
      <c r="F513" s="265"/>
      <c r="G513" s="266"/>
      <c r="H513" s="267">
        <v>6</v>
      </c>
      <c r="I513" s="61"/>
      <c r="J513" s="61">
        <v>1</v>
      </c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268">
        <f t="shared" ref="V513:V529" si="61">SUM(H513,J513,L513,N513,P513,R513,U513,T513)</f>
        <v>7</v>
      </c>
      <c r="W513" s="238">
        <f t="shared" ref="W513:W529" si="62">$V513/$D$510</f>
        <v>1.1290322580645161E-2</v>
      </c>
      <c r="X513" s="36" t="s">
        <v>15</v>
      </c>
      <c r="Y513" s="282"/>
    </row>
    <row r="514" spans="1:25" x14ac:dyDescent="0.25">
      <c r="A514" s="52"/>
      <c r="B514" s="265"/>
      <c r="C514" s="265"/>
      <c r="D514" s="265"/>
      <c r="E514" s="265"/>
      <c r="F514" s="265"/>
      <c r="G514" s="266"/>
      <c r="H514" s="267"/>
      <c r="I514" s="61"/>
      <c r="J514" s="290"/>
      <c r="K514" s="290"/>
      <c r="L514" s="290"/>
      <c r="M514" s="61"/>
      <c r="N514" s="61"/>
      <c r="O514" s="61"/>
      <c r="P514" s="61"/>
      <c r="Q514" s="61"/>
      <c r="R514" s="61"/>
      <c r="S514" s="61"/>
      <c r="T514" s="61"/>
      <c r="U514" s="61"/>
      <c r="V514" s="268">
        <f t="shared" si="61"/>
        <v>0</v>
      </c>
      <c r="W514" s="238">
        <f t="shared" si="62"/>
        <v>0</v>
      </c>
      <c r="X514" s="338" t="s">
        <v>413</v>
      </c>
      <c r="Y514" s="282"/>
    </row>
    <row r="515" spans="1:25" x14ac:dyDescent="0.25">
      <c r="A515" s="52"/>
      <c r="B515" s="265"/>
      <c r="C515" s="265"/>
      <c r="D515" s="265"/>
      <c r="E515" s="265"/>
      <c r="F515" s="265"/>
      <c r="G515" s="266"/>
      <c r="H515" s="267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268">
        <f t="shared" si="61"/>
        <v>0</v>
      </c>
      <c r="W515" s="238">
        <f t="shared" si="62"/>
        <v>0</v>
      </c>
      <c r="X515" s="36" t="s">
        <v>13</v>
      </c>
      <c r="Y515" s="146"/>
    </row>
    <row r="516" spans="1:25" x14ac:dyDescent="0.25">
      <c r="A516" s="52"/>
      <c r="B516" s="265"/>
      <c r="C516" s="265"/>
      <c r="D516" s="265"/>
      <c r="E516" s="265"/>
      <c r="F516" s="265"/>
      <c r="G516" s="266"/>
      <c r="H516" s="267"/>
      <c r="I516" s="61">
        <v>11</v>
      </c>
      <c r="J516" s="61">
        <v>11</v>
      </c>
      <c r="K516" s="61"/>
      <c r="L516" s="61">
        <v>1</v>
      </c>
      <c r="M516" s="61"/>
      <c r="N516" s="61"/>
      <c r="O516" s="61"/>
      <c r="P516" s="61"/>
      <c r="Q516" s="61"/>
      <c r="R516" s="61"/>
      <c r="S516" s="61"/>
      <c r="T516" s="61"/>
      <c r="U516" s="61"/>
      <c r="V516" s="268">
        <f t="shared" si="61"/>
        <v>12</v>
      </c>
      <c r="W516" s="238">
        <f t="shared" si="62"/>
        <v>1.935483870967742E-2</v>
      </c>
      <c r="X516" s="36" t="s">
        <v>14</v>
      </c>
      <c r="Y516" s="264"/>
    </row>
    <row r="517" spans="1:25" x14ac:dyDescent="0.25">
      <c r="A517" s="52" t="s">
        <v>157</v>
      </c>
      <c r="B517" s="265"/>
      <c r="C517" s="265"/>
      <c r="D517" s="265"/>
      <c r="E517" s="265"/>
      <c r="F517" s="265"/>
      <c r="G517" s="266"/>
      <c r="H517" s="267"/>
      <c r="I517" s="61">
        <v>14</v>
      </c>
      <c r="J517" s="61"/>
      <c r="K517" s="61"/>
      <c r="L517" s="61">
        <v>1</v>
      </c>
      <c r="M517" s="61"/>
      <c r="N517" s="61"/>
      <c r="O517" s="61"/>
      <c r="P517" s="61"/>
      <c r="Q517" s="61"/>
      <c r="R517" s="61"/>
      <c r="S517" s="61"/>
      <c r="T517" s="61"/>
      <c r="U517" s="61"/>
      <c r="V517" s="268">
        <f t="shared" si="61"/>
        <v>1</v>
      </c>
      <c r="W517" s="238">
        <f t="shared" si="62"/>
        <v>1.6129032258064516E-3</v>
      </c>
      <c r="X517" s="36" t="s">
        <v>7</v>
      </c>
      <c r="Y517" s="264"/>
    </row>
    <row r="518" spans="1:25" x14ac:dyDescent="0.25">
      <c r="A518" s="52"/>
      <c r="B518" s="265"/>
      <c r="C518" s="265"/>
      <c r="D518" s="265"/>
      <c r="E518" s="265"/>
      <c r="F518" s="265"/>
      <c r="G518" s="266"/>
      <c r="H518" s="267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268">
        <f t="shared" si="61"/>
        <v>0</v>
      </c>
      <c r="W518" s="238">
        <f t="shared" si="62"/>
        <v>0</v>
      </c>
      <c r="X518" s="36" t="s">
        <v>8</v>
      </c>
      <c r="Y518" s="291"/>
    </row>
    <row r="519" spans="1:25" x14ac:dyDescent="0.25">
      <c r="A519" s="52"/>
      <c r="B519" s="265"/>
      <c r="C519" s="265"/>
      <c r="D519" s="265"/>
      <c r="E519" s="265"/>
      <c r="F519" s="265"/>
      <c r="G519" s="266"/>
      <c r="H519" s="285"/>
      <c r="I519" s="61">
        <v>1</v>
      </c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268">
        <f t="shared" si="61"/>
        <v>0</v>
      </c>
      <c r="W519" s="238">
        <f t="shared" si="62"/>
        <v>0</v>
      </c>
      <c r="X519" s="36" t="s">
        <v>68</v>
      </c>
      <c r="Y519" s="291"/>
    </row>
    <row r="520" spans="1:25" x14ac:dyDescent="0.25">
      <c r="A520" s="52"/>
      <c r="B520" s="265"/>
      <c r="C520" s="265"/>
      <c r="D520" s="265"/>
      <c r="E520" s="265"/>
      <c r="F520" s="265"/>
      <c r="G520" s="266"/>
      <c r="H520" s="285"/>
      <c r="I520" s="61">
        <v>1</v>
      </c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268">
        <f t="shared" si="61"/>
        <v>0</v>
      </c>
      <c r="W520" s="238">
        <f t="shared" si="62"/>
        <v>0</v>
      </c>
      <c r="X520" s="36" t="s">
        <v>0</v>
      </c>
      <c r="Y520" s="292"/>
    </row>
    <row r="521" spans="1:25" x14ac:dyDescent="0.25">
      <c r="A521" s="52"/>
      <c r="B521" s="265"/>
      <c r="C521" s="265"/>
      <c r="D521" s="265"/>
      <c r="E521" s="265"/>
      <c r="F521" s="265"/>
      <c r="G521" s="266"/>
      <c r="H521" s="285"/>
      <c r="I521" s="61">
        <v>1</v>
      </c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268">
        <f t="shared" si="61"/>
        <v>0</v>
      </c>
      <c r="W521" s="238">
        <f t="shared" si="62"/>
        <v>0</v>
      </c>
      <c r="X521" s="36" t="s">
        <v>19</v>
      </c>
      <c r="Y521" s="292"/>
    </row>
    <row r="522" spans="1:25" x14ac:dyDescent="0.25">
      <c r="A522" s="52"/>
      <c r="B522" s="265"/>
      <c r="C522" s="265"/>
      <c r="D522" s="265"/>
      <c r="E522" s="265"/>
      <c r="F522" s="265" t="s">
        <v>100</v>
      </c>
      <c r="G522" s="266"/>
      <c r="H522" s="285"/>
      <c r="I522" s="61">
        <v>4</v>
      </c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268">
        <f t="shared" si="61"/>
        <v>0</v>
      </c>
      <c r="W522" s="238">
        <f t="shared" si="62"/>
        <v>0</v>
      </c>
      <c r="X522" s="36" t="s">
        <v>3</v>
      </c>
      <c r="Y522" s="292"/>
    </row>
    <row r="523" spans="1:25" x14ac:dyDescent="0.25">
      <c r="A523" s="303"/>
      <c r="B523" s="305"/>
      <c r="C523" s="305"/>
      <c r="D523" s="305"/>
      <c r="E523" s="305"/>
      <c r="F523" s="305"/>
      <c r="G523" s="304"/>
      <c r="H523" s="293"/>
      <c r="I523" s="61">
        <v>2</v>
      </c>
      <c r="J523" s="66"/>
      <c r="K523" s="66"/>
      <c r="L523" s="66"/>
      <c r="M523" s="61"/>
      <c r="N523" s="66"/>
      <c r="O523" s="66"/>
      <c r="P523" s="66"/>
      <c r="Q523" s="66"/>
      <c r="R523" s="66"/>
      <c r="S523" s="66"/>
      <c r="T523" s="66"/>
      <c r="U523" s="66"/>
      <c r="V523" s="268">
        <f t="shared" si="61"/>
        <v>0</v>
      </c>
      <c r="W523" s="238">
        <f t="shared" si="62"/>
        <v>0</v>
      </c>
      <c r="X523" s="36" t="s">
        <v>199</v>
      </c>
      <c r="Y523" s="292"/>
    </row>
    <row r="524" spans="1:25" x14ac:dyDescent="0.25">
      <c r="A524" s="303"/>
      <c r="B524" s="305"/>
      <c r="C524" s="305"/>
      <c r="D524" s="305"/>
      <c r="E524" s="305"/>
      <c r="F524" s="305"/>
      <c r="G524" s="304"/>
      <c r="H524" s="289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268">
        <f t="shared" si="61"/>
        <v>0</v>
      </c>
      <c r="W524" s="238">
        <f t="shared" si="62"/>
        <v>0</v>
      </c>
      <c r="X524" s="36" t="s">
        <v>268</v>
      </c>
      <c r="Y524" s="292"/>
    </row>
    <row r="525" spans="1:25" x14ac:dyDescent="0.25">
      <c r="A525" s="52"/>
      <c r="B525" s="265"/>
      <c r="C525" s="265"/>
      <c r="D525" s="265"/>
      <c r="E525" s="265"/>
      <c r="F525" s="265"/>
      <c r="G525" s="56"/>
      <c r="H525" s="276">
        <v>1</v>
      </c>
      <c r="I525" s="276">
        <v>1</v>
      </c>
      <c r="J525" s="61"/>
      <c r="K525" s="61"/>
      <c r="L525" s="61"/>
      <c r="M525" s="276"/>
      <c r="N525" s="61"/>
      <c r="O525" s="61"/>
      <c r="P525" s="61"/>
      <c r="Q525" s="61"/>
      <c r="R525" s="61"/>
      <c r="S525" s="61"/>
      <c r="T525" s="61"/>
      <c r="U525" s="61"/>
      <c r="V525" s="268">
        <f>SUM(H525,J525,L525,N525,P525,R525,U525,T525)</f>
        <v>1</v>
      </c>
      <c r="W525" s="238">
        <f t="shared" si="62"/>
        <v>1.6129032258064516E-3</v>
      </c>
      <c r="X525" s="196" t="s">
        <v>80</v>
      </c>
      <c r="Y525" s="294"/>
    </row>
    <row r="526" spans="1:25" x14ac:dyDescent="0.25">
      <c r="A526" s="52"/>
      <c r="B526" s="265"/>
      <c r="C526" s="265"/>
      <c r="D526" s="265"/>
      <c r="E526" s="265"/>
      <c r="F526" s="265"/>
      <c r="G526" s="56"/>
      <c r="H526" s="276"/>
      <c r="I526" s="61">
        <v>6</v>
      </c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268">
        <f>SUM(H526,J526,L526,N526,P526,R526,U526,T526)</f>
        <v>0</v>
      </c>
      <c r="W526" s="238">
        <f t="shared" si="62"/>
        <v>0</v>
      </c>
      <c r="X526" s="36" t="s">
        <v>92</v>
      </c>
      <c r="Y526" s="147" t="s">
        <v>349</v>
      </c>
    </row>
    <row r="527" spans="1:25" x14ac:dyDescent="0.25">
      <c r="A527" s="52"/>
      <c r="B527" s="265"/>
      <c r="C527" s="265"/>
      <c r="D527" s="265"/>
      <c r="E527" s="265"/>
      <c r="F527" s="265"/>
      <c r="G527" s="266"/>
      <c r="H527" s="267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268">
        <f t="shared" si="61"/>
        <v>0</v>
      </c>
      <c r="W527" s="238">
        <f t="shared" si="62"/>
        <v>0</v>
      </c>
      <c r="X527" s="197" t="s">
        <v>35</v>
      </c>
      <c r="Y527" s="292"/>
    </row>
    <row r="528" spans="1:25" x14ac:dyDescent="0.25">
      <c r="A528" s="52"/>
      <c r="B528" s="265"/>
      <c r="C528" s="265"/>
      <c r="D528" s="265"/>
      <c r="E528" s="265"/>
      <c r="F528" s="265"/>
      <c r="G528" s="266"/>
      <c r="H528" s="267"/>
      <c r="I528" s="61">
        <v>1</v>
      </c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268">
        <f t="shared" si="61"/>
        <v>0</v>
      </c>
      <c r="W528" s="238">
        <f t="shared" si="62"/>
        <v>0</v>
      </c>
      <c r="X528" s="36" t="s">
        <v>12</v>
      </c>
      <c r="Y528" s="292"/>
    </row>
    <row r="529" spans="1:25" x14ac:dyDescent="0.25">
      <c r="A529" s="52"/>
      <c r="B529" s="265"/>
      <c r="C529" s="265"/>
      <c r="D529" s="265"/>
      <c r="E529" s="265"/>
      <c r="F529" s="265" t="s">
        <v>100</v>
      </c>
      <c r="G529" s="266"/>
      <c r="H529" s="273"/>
      <c r="I529" s="66"/>
      <c r="J529" s="66"/>
      <c r="K529" s="66"/>
      <c r="L529" s="66">
        <v>2</v>
      </c>
      <c r="M529" s="66"/>
      <c r="N529" s="66"/>
      <c r="O529" s="66"/>
      <c r="P529" s="66"/>
      <c r="Q529" s="66"/>
      <c r="R529" s="66"/>
      <c r="S529" s="66"/>
      <c r="T529" s="66"/>
      <c r="U529" s="66"/>
      <c r="V529" s="268">
        <f t="shared" si="61"/>
        <v>2</v>
      </c>
      <c r="W529" s="238">
        <f t="shared" si="62"/>
        <v>3.2258064516129032E-3</v>
      </c>
      <c r="X529" s="197" t="s">
        <v>27</v>
      </c>
      <c r="Y529" s="291"/>
    </row>
    <row r="530" spans="1:25" ht="15.75" thickBot="1" x14ac:dyDescent="0.3">
      <c r="A530" s="52"/>
      <c r="B530" s="265"/>
      <c r="C530" s="265"/>
      <c r="D530" s="265"/>
      <c r="E530" s="265"/>
      <c r="F530" s="265"/>
      <c r="G530" s="266"/>
      <c r="H530" s="273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268">
        <f>SUM(H530,J530,L530,N530,P530,R530,U530,T530)</f>
        <v>0</v>
      </c>
      <c r="W530" s="258">
        <f>$V530/$D$510</f>
        <v>0</v>
      </c>
      <c r="X530" s="197" t="s">
        <v>9</v>
      </c>
      <c r="Y530" s="292"/>
    </row>
    <row r="531" spans="1:25" ht="15.75" thickBot="1" x14ac:dyDescent="0.3">
      <c r="A531" s="52"/>
      <c r="B531" s="265"/>
      <c r="C531" s="265"/>
      <c r="D531" s="265"/>
      <c r="E531" s="265"/>
      <c r="F531" s="265"/>
      <c r="G531" s="266"/>
      <c r="H531" s="295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296"/>
      <c r="W531" s="166"/>
      <c r="X531" s="74" t="s">
        <v>21</v>
      </c>
      <c r="Y531" s="292"/>
    </row>
    <row r="532" spans="1:25" x14ac:dyDescent="0.25">
      <c r="A532" s="52"/>
      <c r="B532" s="265"/>
      <c r="C532" s="265"/>
      <c r="D532" s="265"/>
      <c r="E532" s="265"/>
      <c r="F532" s="265"/>
      <c r="G532" s="266"/>
      <c r="H532" s="297">
        <v>2</v>
      </c>
      <c r="I532" s="62"/>
      <c r="J532" s="62"/>
      <c r="K532" s="62"/>
      <c r="L532" s="62"/>
      <c r="M532" s="62"/>
      <c r="N532" s="62"/>
      <c r="O532" s="62"/>
      <c r="P532" s="62"/>
      <c r="Q532" s="61"/>
      <c r="R532" s="62"/>
      <c r="S532" s="62"/>
      <c r="T532" s="62"/>
      <c r="U532" s="62"/>
      <c r="V532" s="268">
        <f t="shared" ref="V532:V546" si="63">SUM(H532,J532,L532,N532,P532,R532,U532)</f>
        <v>2</v>
      </c>
      <c r="W532" s="237">
        <f>$V532/$D$510</f>
        <v>3.2258064516129032E-3</v>
      </c>
      <c r="X532" s="341" t="s">
        <v>71</v>
      </c>
      <c r="Y532" s="292"/>
    </row>
    <row r="533" spans="1:25" x14ac:dyDescent="0.25">
      <c r="A533" s="52"/>
      <c r="B533" s="265"/>
      <c r="C533" s="265"/>
      <c r="D533" s="265"/>
      <c r="E533" s="265"/>
      <c r="F533" s="265"/>
      <c r="G533" s="266"/>
      <c r="H533" s="267">
        <v>12</v>
      </c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268">
        <f t="shared" si="63"/>
        <v>12</v>
      </c>
      <c r="W533" s="238">
        <f>$V533/$D$510</f>
        <v>1.935483870967742E-2</v>
      </c>
      <c r="X533" s="101" t="s">
        <v>26</v>
      </c>
      <c r="Y533" s="146"/>
    </row>
    <row r="534" spans="1:25" x14ac:dyDescent="0.25">
      <c r="A534" s="52"/>
      <c r="B534" s="265"/>
      <c r="C534" s="265"/>
      <c r="D534" s="265"/>
      <c r="E534" s="265"/>
      <c r="F534" s="265"/>
      <c r="G534" s="266"/>
      <c r="H534" s="267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268">
        <f t="shared" si="63"/>
        <v>0</v>
      </c>
      <c r="W534" s="238">
        <f t="shared" ref="W534:W544" si="64">$V534/$D$510</f>
        <v>0</v>
      </c>
      <c r="X534" s="338" t="s">
        <v>25</v>
      </c>
      <c r="Y534" s="291"/>
    </row>
    <row r="535" spans="1:25" x14ac:dyDescent="0.25">
      <c r="A535" s="52"/>
      <c r="B535" s="265"/>
      <c r="C535" s="265"/>
      <c r="D535" s="265"/>
      <c r="E535" s="265"/>
      <c r="F535" s="265"/>
      <c r="G535" s="266"/>
      <c r="H535" s="267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268">
        <f t="shared" si="63"/>
        <v>0</v>
      </c>
      <c r="W535" s="238">
        <f t="shared" si="64"/>
        <v>0</v>
      </c>
      <c r="X535" s="338" t="s">
        <v>412</v>
      </c>
      <c r="Y535" s="291" t="s">
        <v>440</v>
      </c>
    </row>
    <row r="536" spans="1:25" x14ac:dyDescent="0.25">
      <c r="A536" s="52"/>
      <c r="B536" s="265"/>
      <c r="C536" s="265"/>
      <c r="D536" s="265"/>
      <c r="E536" s="265"/>
      <c r="F536" s="265" t="s">
        <v>100</v>
      </c>
      <c r="G536" s="266"/>
      <c r="H536" s="267">
        <v>2</v>
      </c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268">
        <f t="shared" si="63"/>
        <v>2</v>
      </c>
      <c r="W536" s="238">
        <f t="shared" si="64"/>
        <v>3.2258064516129032E-3</v>
      </c>
      <c r="X536" s="337" t="s">
        <v>51</v>
      </c>
      <c r="Y536" s="291" t="s">
        <v>454</v>
      </c>
    </row>
    <row r="537" spans="1:25" x14ac:dyDescent="0.25">
      <c r="A537" s="52"/>
      <c r="B537" s="265"/>
      <c r="C537" s="265"/>
      <c r="D537" s="265"/>
      <c r="E537" s="265"/>
      <c r="F537" s="265"/>
      <c r="G537" s="266"/>
      <c r="H537" s="267">
        <v>1</v>
      </c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268">
        <f t="shared" si="63"/>
        <v>1</v>
      </c>
      <c r="W537" s="238">
        <f t="shared" si="64"/>
        <v>1.6129032258064516E-3</v>
      </c>
      <c r="X537" s="196" t="s">
        <v>12</v>
      </c>
      <c r="Y537" s="291" t="s">
        <v>455</v>
      </c>
    </row>
    <row r="538" spans="1:25" x14ac:dyDescent="0.25">
      <c r="A538" s="52"/>
      <c r="B538" s="265"/>
      <c r="C538" s="265"/>
      <c r="D538" s="265"/>
      <c r="E538" s="265"/>
      <c r="F538" s="265"/>
      <c r="G538" s="266"/>
      <c r="H538" s="267">
        <v>1</v>
      </c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268">
        <f t="shared" si="63"/>
        <v>1</v>
      </c>
      <c r="W538" s="238">
        <f t="shared" si="64"/>
        <v>1.6129032258064516E-3</v>
      </c>
      <c r="X538" s="336" t="s">
        <v>161</v>
      </c>
      <c r="Y538" s="146"/>
    </row>
    <row r="539" spans="1:25" x14ac:dyDescent="0.25">
      <c r="A539" s="52"/>
      <c r="B539" s="265"/>
      <c r="C539" s="265"/>
      <c r="D539" s="265"/>
      <c r="E539" s="265"/>
      <c r="F539" s="265"/>
      <c r="G539" s="266"/>
      <c r="H539" s="267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268">
        <f t="shared" si="63"/>
        <v>0</v>
      </c>
      <c r="W539" s="238">
        <f t="shared" si="64"/>
        <v>0</v>
      </c>
      <c r="X539" s="338" t="s">
        <v>169</v>
      </c>
      <c r="Y539" s="146"/>
    </row>
    <row r="540" spans="1:25" x14ac:dyDescent="0.25">
      <c r="A540" s="52"/>
      <c r="B540" s="265"/>
      <c r="C540" s="265"/>
      <c r="D540" s="265"/>
      <c r="E540" s="265"/>
      <c r="F540" s="265"/>
      <c r="G540" s="266"/>
      <c r="H540" s="267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268">
        <f t="shared" si="63"/>
        <v>0</v>
      </c>
      <c r="W540" s="238">
        <f t="shared" si="64"/>
        <v>0</v>
      </c>
      <c r="X540" s="338" t="s">
        <v>197</v>
      </c>
      <c r="Y540" s="291"/>
    </row>
    <row r="541" spans="1:25" x14ac:dyDescent="0.25">
      <c r="A541" s="52"/>
      <c r="B541" s="265"/>
      <c r="C541" s="265"/>
      <c r="D541" s="265"/>
      <c r="E541" s="265"/>
      <c r="F541" s="265"/>
      <c r="G541" s="266"/>
      <c r="H541" s="267">
        <v>1</v>
      </c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268">
        <f t="shared" si="63"/>
        <v>1</v>
      </c>
      <c r="W541" s="238">
        <f t="shared" si="64"/>
        <v>1.6129032258064516E-3</v>
      </c>
      <c r="X541" s="338" t="s">
        <v>101</v>
      </c>
      <c r="Y541" s="291"/>
    </row>
    <row r="542" spans="1:25" x14ac:dyDescent="0.25">
      <c r="A542" s="52"/>
      <c r="B542" s="265"/>
      <c r="C542" s="265"/>
      <c r="D542" s="265"/>
      <c r="E542" s="265"/>
      <c r="F542" s="265"/>
      <c r="G542" s="266"/>
      <c r="H542" s="267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268">
        <f t="shared" si="63"/>
        <v>0</v>
      </c>
      <c r="W542" s="238">
        <f t="shared" si="64"/>
        <v>0</v>
      </c>
      <c r="X542" s="196" t="s">
        <v>35</v>
      </c>
      <c r="Y542" s="291"/>
    </row>
    <row r="543" spans="1:25" x14ac:dyDescent="0.25">
      <c r="A543" s="52"/>
      <c r="B543" s="265"/>
      <c r="C543" s="265"/>
      <c r="D543" s="265"/>
      <c r="E543" s="265"/>
      <c r="F543" s="265"/>
      <c r="G543" s="266"/>
      <c r="H543" s="267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268">
        <f t="shared" ref="V543" si="65">SUM(H543,J543,L543,N543,P543,R543,U543)</f>
        <v>0</v>
      </c>
      <c r="W543" s="238">
        <f>$V543/$D$510</f>
        <v>0</v>
      </c>
      <c r="X543" s="196" t="s">
        <v>453</v>
      </c>
      <c r="Y543" s="291"/>
    </row>
    <row r="544" spans="1:25" x14ac:dyDescent="0.25">
      <c r="A544" s="52"/>
      <c r="B544" s="265"/>
      <c r="C544" s="265"/>
      <c r="D544" s="265"/>
      <c r="E544" s="265"/>
      <c r="F544" s="265"/>
      <c r="G544" s="266"/>
      <c r="H544" s="267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268">
        <f t="shared" si="63"/>
        <v>0</v>
      </c>
      <c r="W544" s="238">
        <f t="shared" si="64"/>
        <v>0</v>
      </c>
      <c r="X544" s="196" t="s">
        <v>203</v>
      </c>
      <c r="Y544" s="291"/>
    </row>
    <row r="545" spans="1:25" ht="15.75" thickBot="1" x14ac:dyDescent="0.3">
      <c r="A545" s="155"/>
      <c r="B545" s="156"/>
      <c r="C545" s="156"/>
      <c r="D545" s="156"/>
      <c r="E545" s="156"/>
      <c r="F545" s="156"/>
      <c r="G545" s="266"/>
      <c r="H545" s="267">
        <v>1</v>
      </c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268">
        <f t="shared" si="63"/>
        <v>1</v>
      </c>
      <c r="W545" s="236">
        <f>$V545/$D$510</f>
        <v>1.6129032258064516E-3</v>
      </c>
      <c r="X545" s="38" t="s">
        <v>85</v>
      </c>
      <c r="Y545" s="298"/>
    </row>
    <row r="546" spans="1:25" ht="15.75" thickBot="1" x14ac:dyDescent="0.3">
      <c r="A546" s="41"/>
      <c r="B546" s="41"/>
      <c r="C546" s="41"/>
      <c r="D546" s="41"/>
      <c r="E546" s="41"/>
      <c r="F546" s="41"/>
      <c r="G546" s="47" t="s">
        <v>4</v>
      </c>
      <c r="H546" s="57">
        <f t="shared" ref="H546:U546" si="66">SUM(H511:H545)</f>
        <v>32</v>
      </c>
      <c r="I546" s="57">
        <f t="shared" si="66"/>
        <v>64</v>
      </c>
      <c r="J546" s="57">
        <f t="shared" si="66"/>
        <v>12</v>
      </c>
      <c r="K546" s="57">
        <f t="shared" si="66"/>
        <v>0</v>
      </c>
      <c r="L546" s="57">
        <f t="shared" si="66"/>
        <v>4</v>
      </c>
      <c r="M546" s="57">
        <f t="shared" si="66"/>
        <v>0</v>
      </c>
      <c r="N546" s="57">
        <f t="shared" si="66"/>
        <v>0</v>
      </c>
      <c r="O546" s="57">
        <f t="shared" si="66"/>
        <v>0</v>
      </c>
      <c r="P546" s="57">
        <f t="shared" si="66"/>
        <v>0</v>
      </c>
      <c r="Q546" s="57">
        <f t="shared" si="66"/>
        <v>0</v>
      </c>
      <c r="R546" s="57">
        <f t="shared" si="66"/>
        <v>0</v>
      </c>
      <c r="S546" s="57">
        <f t="shared" si="66"/>
        <v>0</v>
      </c>
      <c r="T546" s="57">
        <f t="shared" si="66"/>
        <v>0</v>
      </c>
      <c r="U546" s="57">
        <f t="shared" si="66"/>
        <v>0</v>
      </c>
      <c r="V546" s="288">
        <f t="shared" si="63"/>
        <v>48</v>
      </c>
      <c r="W546" s="328">
        <f>$V546/$D$510</f>
        <v>7.7419354838709681E-2</v>
      </c>
    </row>
  </sheetData>
  <conditionalFormatting sqref="W24:W37">
    <cfRule type="colorScale" priority="76">
      <colorScale>
        <cfvo type="min"/>
        <cfvo type="max"/>
        <color rgb="FFFCFCFF"/>
        <color rgb="FFF8696B"/>
      </colorScale>
    </cfRule>
  </conditionalFormatting>
  <conditionalFormatting sqref="W1">
    <cfRule type="cellIs" dxfId="49" priority="75" operator="greaterThan">
      <formula>0.2</formula>
    </cfRule>
  </conditionalFormatting>
  <conditionalFormatting sqref="W3:W22">
    <cfRule type="colorScale" priority="73">
      <colorScale>
        <cfvo type="min"/>
        <cfvo type="max"/>
        <color rgb="FFFCFCFF"/>
        <color rgb="FFF8696B"/>
      </colorScale>
    </cfRule>
  </conditionalFormatting>
  <conditionalFormatting sqref="U2:V2">
    <cfRule type="cellIs" dxfId="48" priority="72" operator="greaterThan">
      <formula>0.2</formula>
    </cfRule>
  </conditionalFormatting>
  <conditionalFormatting sqref="W2">
    <cfRule type="cellIs" dxfId="47" priority="71" operator="greaterThan">
      <formula>0.2</formula>
    </cfRule>
  </conditionalFormatting>
  <conditionalFormatting sqref="W63:W76">
    <cfRule type="colorScale" priority="70">
      <colorScale>
        <cfvo type="min"/>
        <cfvo type="max"/>
        <color rgb="FFFCFCFF"/>
        <color rgb="FFF8696B"/>
      </colorScale>
    </cfRule>
  </conditionalFormatting>
  <conditionalFormatting sqref="W40">
    <cfRule type="cellIs" dxfId="46" priority="69" operator="greaterThan">
      <formula>0.2</formula>
    </cfRule>
  </conditionalFormatting>
  <conditionalFormatting sqref="W42:W61">
    <cfRule type="colorScale" priority="67">
      <colorScale>
        <cfvo type="min"/>
        <cfvo type="max"/>
        <color rgb="FFFCFCFF"/>
        <color rgb="FFF8696B"/>
      </colorScale>
    </cfRule>
  </conditionalFormatting>
  <conditionalFormatting sqref="U41:V41">
    <cfRule type="cellIs" dxfId="45" priority="66" operator="greaterThan">
      <formula>0.2</formula>
    </cfRule>
  </conditionalFormatting>
  <conditionalFormatting sqref="W41">
    <cfRule type="cellIs" dxfId="44" priority="65" operator="greaterThan">
      <formula>0.2</formula>
    </cfRule>
  </conditionalFormatting>
  <conditionalFormatting sqref="W102:W115">
    <cfRule type="colorScale" priority="64">
      <colorScale>
        <cfvo type="min"/>
        <cfvo type="max"/>
        <color rgb="FFFCFCFF"/>
        <color rgb="FFF8696B"/>
      </colorScale>
    </cfRule>
  </conditionalFormatting>
  <conditionalFormatting sqref="W79">
    <cfRule type="cellIs" dxfId="43" priority="63" operator="greaterThan">
      <formula>0.2</formula>
    </cfRule>
  </conditionalFormatting>
  <conditionalFormatting sqref="W81:W100">
    <cfRule type="colorScale" priority="61">
      <colorScale>
        <cfvo type="min"/>
        <cfvo type="max"/>
        <color rgb="FFFCFCFF"/>
        <color rgb="FFF8696B"/>
      </colorScale>
    </cfRule>
  </conditionalFormatting>
  <conditionalFormatting sqref="U80:V80">
    <cfRule type="cellIs" dxfId="42" priority="60" operator="greaterThan">
      <formula>0.2</formula>
    </cfRule>
  </conditionalFormatting>
  <conditionalFormatting sqref="W80">
    <cfRule type="cellIs" dxfId="41" priority="59" operator="greaterThan">
      <formula>0.2</formula>
    </cfRule>
  </conditionalFormatting>
  <conditionalFormatting sqref="W141:W154">
    <cfRule type="colorScale" priority="58">
      <colorScale>
        <cfvo type="min"/>
        <cfvo type="max"/>
        <color rgb="FFFCFCFF"/>
        <color rgb="FFF8696B"/>
      </colorScale>
    </cfRule>
  </conditionalFormatting>
  <conditionalFormatting sqref="W118">
    <cfRule type="cellIs" dxfId="40" priority="57" operator="greaterThan">
      <formula>0.2</formula>
    </cfRule>
  </conditionalFormatting>
  <conditionalFormatting sqref="W120:W139">
    <cfRule type="colorScale" priority="55">
      <colorScale>
        <cfvo type="min"/>
        <cfvo type="max"/>
        <color rgb="FFFCFCFF"/>
        <color rgb="FFF8696B"/>
      </colorScale>
    </cfRule>
  </conditionalFormatting>
  <conditionalFormatting sqref="U119:V119">
    <cfRule type="cellIs" dxfId="39" priority="54" operator="greaterThan">
      <formula>0.2</formula>
    </cfRule>
  </conditionalFormatting>
  <conditionalFormatting sqref="W119">
    <cfRule type="cellIs" dxfId="38" priority="53" operator="greaterThan">
      <formula>0.2</formula>
    </cfRule>
  </conditionalFormatting>
  <conditionalFormatting sqref="W180:W193">
    <cfRule type="colorScale" priority="52">
      <colorScale>
        <cfvo type="min"/>
        <cfvo type="max"/>
        <color rgb="FFFCFCFF"/>
        <color rgb="FFF8696B"/>
      </colorScale>
    </cfRule>
  </conditionalFormatting>
  <conditionalFormatting sqref="W157">
    <cfRule type="cellIs" dxfId="37" priority="51" operator="greaterThan">
      <formula>0.2</formula>
    </cfRule>
  </conditionalFormatting>
  <conditionalFormatting sqref="W159:W178">
    <cfRule type="colorScale" priority="50">
      <colorScale>
        <cfvo type="min"/>
        <cfvo type="max"/>
        <color rgb="FFFCFCFF"/>
        <color rgb="FFF8696B"/>
      </colorScale>
    </cfRule>
  </conditionalFormatting>
  <conditionalFormatting sqref="U158:V158">
    <cfRule type="cellIs" dxfId="36" priority="49" operator="greaterThan">
      <formula>0.2</formula>
    </cfRule>
  </conditionalFormatting>
  <conditionalFormatting sqref="W158">
    <cfRule type="cellIs" dxfId="35" priority="48" operator="greaterThan">
      <formula>0.2</formula>
    </cfRule>
  </conditionalFormatting>
  <conditionalFormatting sqref="W219:W2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W196">
    <cfRule type="cellIs" dxfId="34" priority="46" operator="greaterThan">
      <formula>0.2</formula>
    </cfRule>
  </conditionalFormatting>
  <conditionalFormatting sqref="W198:W217">
    <cfRule type="colorScale" priority="45">
      <colorScale>
        <cfvo type="min"/>
        <cfvo type="max"/>
        <color rgb="FFFCFCFF"/>
        <color rgb="FFF8696B"/>
      </colorScale>
    </cfRule>
  </conditionalFormatting>
  <conditionalFormatting sqref="U197:V197">
    <cfRule type="cellIs" dxfId="33" priority="44" operator="greaterThan">
      <formula>0.2</formula>
    </cfRule>
  </conditionalFormatting>
  <conditionalFormatting sqref="W197">
    <cfRule type="cellIs" dxfId="32" priority="43" operator="greaterThan">
      <formula>0.2</formula>
    </cfRule>
  </conditionalFormatting>
  <conditionalFormatting sqref="W258:W271">
    <cfRule type="colorScale" priority="42">
      <colorScale>
        <cfvo type="min"/>
        <cfvo type="max"/>
        <color rgb="FFFCFCFF"/>
        <color rgb="FFF8696B"/>
      </colorScale>
    </cfRule>
  </conditionalFormatting>
  <conditionalFormatting sqref="W235">
    <cfRule type="cellIs" dxfId="31" priority="41" operator="greaterThan">
      <formula>0.2</formula>
    </cfRule>
  </conditionalFormatting>
  <conditionalFormatting sqref="W237:W256">
    <cfRule type="colorScale" priority="40">
      <colorScale>
        <cfvo type="min"/>
        <cfvo type="max"/>
        <color rgb="FFFCFCFF"/>
        <color rgb="FFF8696B"/>
      </colorScale>
    </cfRule>
  </conditionalFormatting>
  <conditionalFormatting sqref="U236:V236">
    <cfRule type="cellIs" dxfId="30" priority="39" operator="greaterThan">
      <formula>0.2</formula>
    </cfRule>
  </conditionalFormatting>
  <conditionalFormatting sqref="W236">
    <cfRule type="cellIs" dxfId="29" priority="38" operator="greaterThan">
      <formula>0.2</formula>
    </cfRule>
  </conditionalFormatting>
  <conditionalFormatting sqref="W297:W310">
    <cfRule type="colorScale" priority="37">
      <colorScale>
        <cfvo type="min"/>
        <cfvo type="max"/>
        <color rgb="FFFCFCFF"/>
        <color rgb="FFF8696B"/>
      </colorScale>
    </cfRule>
  </conditionalFormatting>
  <conditionalFormatting sqref="W274">
    <cfRule type="cellIs" dxfId="28" priority="36" operator="greaterThan">
      <formula>0.2</formula>
    </cfRule>
  </conditionalFormatting>
  <conditionalFormatting sqref="W276:W295">
    <cfRule type="colorScale" priority="35">
      <colorScale>
        <cfvo type="min"/>
        <cfvo type="max"/>
        <color rgb="FFFCFCFF"/>
        <color rgb="FFF8696B"/>
      </colorScale>
    </cfRule>
  </conditionalFormatting>
  <conditionalFormatting sqref="U275:V275">
    <cfRule type="cellIs" dxfId="27" priority="34" operator="greaterThan">
      <formula>0.2</formula>
    </cfRule>
  </conditionalFormatting>
  <conditionalFormatting sqref="W275">
    <cfRule type="cellIs" dxfId="26" priority="33" operator="greaterThan">
      <formula>0.2</formula>
    </cfRule>
  </conditionalFormatting>
  <conditionalFormatting sqref="W336:W349">
    <cfRule type="colorScale" priority="32">
      <colorScale>
        <cfvo type="min"/>
        <cfvo type="max"/>
        <color rgb="FFFCFCFF"/>
        <color rgb="FFF8696B"/>
      </colorScale>
    </cfRule>
  </conditionalFormatting>
  <conditionalFormatting sqref="W313">
    <cfRule type="cellIs" dxfId="25" priority="31" operator="greaterThan">
      <formula>0.2</formula>
    </cfRule>
  </conditionalFormatting>
  <conditionalFormatting sqref="W315:W334">
    <cfRule type="colorScale" priority="30">
      <colorScale>
        <cfvo type="min"/>
        <cfvo type="max"/>
        <color rgb="FFFCFCFF"/>
        <color rgb="FFF8696B"/>
      </colorScale>
    </cfRule>
  </conditionalFormatting>
  <conditionalFormatting sqref="U314:V314">
    <cfRule type="cellIs" dxfId="24" priority="29" operator="greaterThan">
      <formula>0.2</formula>
    </cfRule>
  </conditionalFormatting>
  <conditionalFormatting sqref="W314">
    <cfRule type="cellIs" dxfId="23" priority="28" operator="greaterThan">
      <formula>0.2</formula>
    </cfRule>
  </conditionalFormatting>
  <conditionalFormatting sqref="W375:W388">
    <cfRule type="colorScale" priority="27">
      <colorScale>
        <cfvo type="min"/>
        <cfvo type="max"/>
        <color rgb="FFFCFCFF"/>
        <color rgb="FFF8696B"/>
      </colorScale>
    </cfRule>
  </conditionalFormatting>
  <conditionalFormatting sqref="W352">
    <cfRule type="cellIs" dxfId="22" priority="26" operator="greaterThan">
      <formula>0.2</formula>
    </cfRule>
  </conditionalFormatting>
  <conditionalFormatting sqref="W354:W373">
    <cfRule type="colorScale" priority="25">
      <colorScale>
        <cfvo type="min"/>
        <cfvo type="max"/>
        <color rgb="FFFCFCFF"/>
        <color rgb="FFF8696B"/>
      </colorScale>
    </cfRule>
  </conditionalFormatting>
  <conditionalFormatting sqref="U353:V353">
    <cfRule type="cellIs" dxfId="21" priority="24" operator="greaterThan">
      <formula>0.2</formula>
    </cfRule>
  </conditionalFormatting>
  <conditionalFormatting sqref="W353">
    <cfRule type="cellIs" dxfId="20" priority="23" operator="greaterThan">
      <formula>0.2</formula>
    </cfRule>
  </conditionalFormatting>
  <conditionalFormatting sqref="W414:W427">
    <cfRule type="colorScale" priority="22">
      <colorScale>
        <cfvo type="min"/>
        <cfvo type="max"/>
        <color rgb="FFFCFCFF"/>
        <color rgb="FFF8696B"/>
      </colorScale>
    </cfRule>
  </conditionalFormatting>
  <conditionalFormatting sqref="W391">
    <cfRule type="cellIs" dxfId="19" priority="21" operator="greaterThan">
      <formula>0.2</formula>
    </cfRule>
  </conditionalFormatting>
  <conditionalFormatting sqref="W393:W412">
    <cfRule type="colorScale" priority="20">
      <colorScale>
        <cfvo type="min"/>
        <cfvo type="max"/>
        <color rgb="FFFCFCFF"/>
        <color rgb="FFF8696B"/>
      </colorScale>
    </cfRule>
  </conditionalFormatting>
  <conditionalFormatting sqref="U392:V392">
    <cfRule type="cellIs" dxfId="18" priority="19" operator="greaterThan">
      <formula>0.2</formula>
    </cfRule>
  </conditionalFormatting>
  <conditionalFormatting sqref="W392">
    <cfRule type="cellIs" dxfId="17" priority="18" operator="greaterThan">
      <formula>0.2</formula>
    </cfRule>
  </conditionalFormatting>
  <conditionalFormatting sqref="W453:W466">
    <cfRule type="colorScale" priority="17">
      <colorScale>
        <cfvo type="min"/>
        <cfvo type="max"/>
        <color rgb="FFFCFCFF"/>
        <color rgb="FFF8696B"/>
      </colorScale>
    </cfRule>
  </conditionalFormatting>
  <conditionalFormatting sqref="W430">
    <cfRule type="cellIs" dxfId="16" priority="16" operator="greaterThan">
      <formula>0.2</formula>
    </cfRule>
  </conditionalFormatting>
  <conditionalFormatting sqref="W432:W451">
    <cfRule type="colorScale" priority="15">
      <colorScale>
        <cfvo type="min"/>
        <cfvo type="max"/>
        <color rgb="FFFCFCFF"/>
        <color rgb="FFF8696B"/>
      </colorScale>
    </cfRule>
  </conditionalFormatting>
  <conditionalFormatting sqref="U431:V431">
    <cfRule type="cellIs" dxfId="15" priority="14" operator="greaterThan">
      <formula>0.2</formula>
    </cfRule>
  </conditionalFormatting>
  <conditionalFormatting sqref="W431">
    <cfRule type="cellIs" dxfId="14" priority="13" operator="greaterThan">
      <formula>0.2</formula>
    </cfRule>
  </conditionalFormatting>
  <conditionalFormatting sqref="W493:W506">
    <cfRule type="colorScale" priority="12">
      <colorScale>
        <cfvo type="min"/>
        <cfvo type="max"/>
        <color rgb="FFFCFCFF"/>
        <color rgb="FFF8696B"/>
      </colorScale>
    </cfRule>
  </conditionalFormatting>
  <conditionalFormatting sqref="W469">
    <cfRule type="cellIs" dxfId="13" priority="11" operator="greaterThan">
      <formula>0.2</formula>
    </cfRule>
  </conditionalFormatting>
  <conditionalFormatting sqref="W471:W491">
    <cfRule type="colorScale" priority="10">
      <colorScale>
        <cfvo type="min"/>
        <cfvo type="max"/>
        <color rgb="FFFCFCFF"/>
        <color rgb="FFF8696B"/>
      </colorScale>
    </cfRule>
  </conditionalFormatting>
  <conditionalFormatting sqref="U470:V470">
    <cfRule type="cellIs" dxfId="12" priority="9" operator="greaterThan">
      <formula>0.2</formula>
    </cfRule>
  </conditionalFormatting>
  <conditionalFormatting sqref="W470">
    <cfRule type="cellIs" dxfId="11" priority="8" operator="greaterThan">
      <formula>0.2</formula>
    </cfRule>
  </conditionalFormatting>
  <conditionalFormatting sqref="W532:W546">
    <cfRule type="colorScale" priority="7">
      <colorScale>
        <cfvo type="min"/>
        <cfvo type="max"/>
        <color rgb="FFFCFCFF"/>
        <color rgb="FFF8696B"/>
      </colorScale>
    </cfRule>
  </conditionalFormatting>
  <conditionalFormatting sqref="W509">
    <cfRule type="cellIs" dxfId="10" priority="6" operator="greaterThan">
      <formula>0.2</formula>
    </cfRule>
  </conditionalFormatting>
  <conditionalFormatting sqref="W511:W530">
    <cfRule type="colorScale" priority="5">
      <colorScale>
        <cfvo type="min"/>
        <cfvo type="max"/>
        <color rgb="FFFCFCFF"/>
        <color rgb="FFF8696B"/>
      </colorScale>
    </cfRule>
  </conditionalFormatting>
  <conditionalFormatting sqref="U510:V510">
    <cfRule type="cellIs" dxfId="9" priority="4" operator="greaterThan">
      <formula>0.2</formula>
    </cfRule>
  </conditionalFormatting>
  <conditionalFormatting sqref="W510">
    <cfRule type="cellIs" dxfId="8" priority="3" operator="greaterThan">
      <formula>0.2</formula>
    </cfRule>
  </conditionalFormatting>
  <pageMargins left="0" right="0" top="0.75" bottom="0.75" header="0.3" footer="0.3"/>
  <pageSetup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pageSetUpPr fitToPage="1"/>
  </sheetPr>
  <dimension ref="A1:U33"/>
  <sheetViews>
    <sheetView showGridLines="0" topLeftCell="A4" zoomScaleNormal="100" workbookViewId="0">
      <selection activeCell="J33" sqref="J33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30" style="23" bestFit="1" customWidth="1"/>
    <col min="16" max="16" width="10.7109375" style="23" customWidth="1"/>
    <col min="17" max="17" width="10.85546875" style="23" customWidth="1"/>
    <col min="18" max="18" width="9.85546875" style="23" customWidth="1"/>
    <col min="19" max="16384" width="9.140625" style="23"/>
  </cols>
  <sheetData>
    <row r="1" spans="1:21" ht="54" customHeight="1" x14ac:dyDescent="0.25">
      <c r="A1" s="558" t="s">
        <v>107</v>
      </c>
      <c r="B1" s="558"/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  <c r="R1" s="558"/>
    </row>
    <row r="3" spans="1:21" ht="26.25" customHeight="1" x14ac:dyDescent="0.25">
      <c r="H3" s="23">
        <f ca="1">H3:H38</f>
        <v>0</v>
      </c>
      <c r="O3" s="559" t="s">
        <v>50</v>
      </c>
      <c r="P3" s="560"/>
      <c r="Q3" s="560"/>
      <c r="R3" s="560"/>
    </row>
    <row r="4" spans="1:21" x14ac:dyDescent="0.25">
      <c r="O4" s="561" t="s">
        <v>20</v>
      </c>
      <c r="P4" s="562"/>
      <c r="Q4" s="563"/>
      <c r="R4" s="257" t="s">
        <v>24</v>
      </c>
    </row>
    <row r="5" spans="1:21" x14ac:dyDescent="0.25">
      <c r="O5" s="20" t="s">
        <v>5</v>
      </c>
      <c r="P5" s="20"/>
      <c r="Q5" s="21"/>
      <c r="R5" s="255">
        <f>SUMIF('EB210'!$V$3:$V$85,O5,'EB210'!$T$3:$T$85)</f>
        <v>38</v>
      </c>
    </row>
    <row r="6" spans="1:21" x14ac:dyDescent="0.25">
      <c r="O6" s="20" t="s">
        <v>3</v>
      </c>
      <c r="P6" s="20"/>
      <c r="Q6" s="21"/>
      <c r="R6" s="255">
        <f>SUMIF('EB210'!$V$3:$V$85,O6,'EB210'!$T$3:$T$85)</f>
        <v>15</v>
      </c>
    </row>
    <row r="7" spans="1:21" x14ac:dyDescent="0.25">
      <c r="O7" s="20" t="s">
        <v>11</v>
      </c>
      <c r="P7" s="20"/>
      <c r="Q7" s="21"/>
      <c r="R7" s="255">
        <f>SUMIF('EB210'!$V$3:$V$85,O7,'EB210'!$T$3:$T$85)</f>
        <v>14</v>
      </c>
    </row>
    <row r="8" spans="1:21" x14ac:dyDescent="0.25">
      <c r="O8" s="20" t="s">
        <v>15</v>
      </c>
      <c r="P8" s="20"/>
      <c r="Q8" s="21"/>
      <c r="R8" s="255">
        <f>SUMIF('EB210'!$V$3:$V$85,O8,'EB210'!$T$3:$T$85)</f>
        <v>14</v>
      </c>
    </row>
    <row r="9" spans="1:21" x14ac:dyDescent="0.25">
      <c r="O9" s="20" t="s">
        <v>33</v>
      </c>
      <c r="P9" s="20"/>
      <c r="Q9" s="21"/>
      <c r="R9" s="255">
        <f>SUMIF('EB210'!$V$3:$V$85,O9,'EB210'!$T$3:$T$85)</f>
        <v>9</v>
      </c>
    </row>
    <row r="10" spans="1:21" ht="15.75" x14ac:dyDescent="0.25">
      <c r="O10" s="20" t="s">
        <v>43</v>
      </c>
      <c r="P10" s="20"/>
      <c r="Q10" s="21"/>
      <c r="R10" s="255">
        <f>SUMIF('EB210'!$V$3:$V$85,O10,'EB210'!$T$3:$T$85)</f>
        <v>6</v>
      </c>
      <c r="U10" s="125"/>
    </row>
    <row r="11" spans="1:21" x14ac:dyDescent="0.25">
      <c r="O11" s="20" t="s">
        <v>13</v>
      </c>
      <c r="P11" s="20"/>
      <c r="Q11" s="21"/>
      <c r="R11" s="255">
        <f>SUMIF('EB210'!$V$3:$V$85,O11,'EB210'!$T$3:$T$85)</f>
        <v>6</v>
      </c>
    </row>
    <row r="12" spans="1:21" x14ac:dyDescent="0.25">
      <c r="O12" s="20" t="s">
        <v>14</v>
      </c>
      <c r="P12" s="20"/>
      <c r="Q12" s="21"/>
      <c r="R12" s="255">
        <f>SUMIF('EB210'!$V$3:$V$85,O12,'EB210'!$T$3:$T$85)</f>
        <v>5</v>
      </c>
    </row>
    <row r="13" spans="1:21" x14ac:dyDescent="0.25">
      <c r="O13" s="20" t="s">
        <v>27</v>
      </c>
      <c r="P13" s="20"/>
      <c r="Q13" s="21"/>
      <c r="R13" s="255">
        <f>SUMIF('EB210'!$V$3:$V$85,O13,'EB210'!$T$3:$T$85)</f>
        <v>4</v>
      </c>
    </row>
    <row r="14" spans="1:21" x14ac:dyDescent="0.25">
      <c r="O14" s="20" t="s">
        <v>0</v>
      </c>
      <c r="P14" s="20"/>
      <c r="Q14" s="21"/>
      <c r="R14" s="255">
        <f>SUMIF('EB210'!$V$3:$V$85,O14,'EB210'!$T$3:$T$85)</f>
        <v>4</v>
      </c>
    </row>
    <row r="15" spans="1:21" x14ac:dyDescent="0.25">
      <c r="O15" s="20" t="s">
        <v>30</v>
      </c>
      <c r="P15" s="20"/>
      <c r="Q15" s="21"/>
      <c r="R15" s="255">
        <f>SUMIF('EB210'!$V$3:$V$85,O15,'EB210'!$T$3:$T$85)</f>
        <v>3</v>
      </c>
    </row>
    <row r="16" spans="1:21" x14ac:dyDescent="0.25">
      <c r="O16" s="20" t="s">
        <v>26</v>
      </c>
      <c r="P16" s="20"/>
      <c r="Q16" s="21"/>
      <c r="R16" s="255">
        <f>SUMIF('EB210'!$V$3:$V$85,O16,'EB210'!$T$3:$T$85)</f>
        <v>3</v>
      </c>
    </row>
    <row r="17" spans="1:18" x14ac:dyDescent="0.25">
      <c r="O17" s="20" t="s">
        <v>12</v>
      </c>
      <c r="P17" s="20"/>
      <c r="Q17" s="21"/>
      <c r="R17" s="255">
        <f>SUMIF('EB210'!$V$3:$V$85,O17,'EB210'!$T$3:$T$85)</f>
        <v>2</v>
      </c>
    </row>
    <row r="18" spans="1:18" x14ac:dyDescent="0.25">
      <c r="O18" s="20" t="s">
        <v>7</v>
      </c>
      <c r="P18" s="20"/>
      <c r="Q18" s="21"/>
      <c r="R18" s="255">
        <f>SUMIF('EB210'!$V$3:$V$85,O18,'EB210'!$T$3:$T$85)</f>
        <v>1</v>
      </c>
    </row>
    <row r="19" spans="1:18" x14ac:dyDescent="0.25">
      <c r="O19" s="20" t="s">
        <v>71</v>
      </c>
      <c r="P19" s="20"/>
      <c r="Q19" s="21"/>
      <c r="R19" s="255">
        <f>SUMIF('EB210'!$V$3:$V$85,O19,'EB210'!$T$3:$T$85)</f>
        <v>1</v>
      </c>
    </row>
    <row r="20" spans="1:18" ht="15.75" customHeight="1" x14ac:dyDescent="0.25">
      <c r="O20" s="20" t="s">
        <v>19</v>
      </c>
      <c r="P20" s="20"/>
      <c r="Q20" s="21"/>
      <c r="R20" s="255">
        <f>SUMIF('EB210'!$V$3:$V$85,O20,'EB210'!$T$3:$T$85)</f>
        <v>0</v>
      </c>
    </row>
    <row r="21" spans="1:18" ht="23.25" x14ac:dyDescent="0.25">
      <c r="A21" s="567" t="s">
        <v>62</v>
      </c>
      <c r="B21" s="568"/>
      <c r="C21" s="568"/>
      <c r="D21" s="568"/>
      <c r="E21" s="569"/>
      <c r="O21" s="20" t="s">
        <v>8</v>
      </c>
      <c r="P21" s="20"/>
      <c r="Q21" s="21"/>
      <c r="R21" s="255">
        <f>SUMIF('EB210'!$V$3:$V$85,O21,'EB210'!$T$3:$T$85)</f>
        <v>0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29" t="s">
        <v>23</v>
      </c>
      <c r="O22" s="20" t="s">
        <v>29</v>
      </c>
      <c r="P22" s="20"/>
      <c r="Q22" s="21"/>
      <c r="R22" s="255">
        <f>SUMIF('EB210'!$V$3:$V$85,O22,'EB210'!$T$3:$T$85)</f>
        <v>0</v>
      </c>
    </row>
    <row r="23" spans="1:18" x14ac:dyDescent="0.25">
      <c r="A23" s="301">
        <v>1511627</v>
      </c>
      <c r="B23" s="130">
        <f>VLOOKUP(Table14117[[#This Row],[Shop Order]],'EB210'!A:AA,4,FALSE)</f>
        <v>150</v>
      </c>
      <c r="C23" s="130">
        <f>VLOOKUP(Table14117[[#This Row],[Shop Order]],'EB210'!A:Y,5,FALSE)</f>
        <v>133</v>
      </c>
      <c r="D23" s="131">
        <f>VLOOKUP(Table14117[[#This Row],[Shop Order]],'EB210'!A:Y,6,FALSE)</f>
        <v>0.88666666666666671</v>
      </c>
      <c r="E23" s="132">
        <f>VLOOKUP(Table14117[[#This Row],[Shop Order]],'EB210'!A:Y,7,FALSE)</f>
        <v>45302</v>
      </c>
      <c r="O23" s="20" t="s">
        <v>10</v>
      </c>
      <c r="P23" s="20"/>
      <c r="Q23" s="21"/>
      <c r="R23" s="255">
        <f>SUMIF('EB210'!$V$3:$V$85,O23,'EB210'!$T$3:$T$85)</f>
        <v>0</v>
      </c>
    </row>
    <row r="24" spans="1:18" x14ac:dyDescent="0.25">
      <c r="A24" s="301">
        <v>1517597</v>
      </c>
      <c r="B24" s="130">
        <f>VLOOKUP(Table14117[[#This Row],[Shop Order]],'EB210'!A:AA,4,FALSE)</f>
        <v>1317</v>
      </c>
      <c r="C24" s="130">
        <f>VLOOKUP(Table14117[[#This Row],[Shop Order]],'EB210'!A:Y,5,FALSE)</f>
        <v>1209</v>
      </c>
      <c r="D24" s="131">
        <f>VLOOKUP(Table14117[[#This Row],[Shop Order]],'EB210'!A:Y,6,FALSE)</f>
        <v>0.91799544419134393</v>
      </c>
      <c r="E24" s="132">
        <f>VLOOKUP(Table14117[[#This Row],[Shop Order]],'EB210'!A:Y,7,FALSE)</f>
        <v>45352</v>
      </c>
      <c r="G24" s="24"/>
      <c r="O24" s="20" t="s">
        <v>78</v>
      </c>
      <c r="P24" s="20"/>
      <c r="Q24" s="21"/>
      <c r="R24" s="255">
        <f>SUMIF('EB210'!$V$3:$V$85,O24,'EB210'!$T$3:$T$85)</f>
        <v>0</v>
      </c>
    </row>
    <row r="25" spans="1:18" x14ac:dyDescent="0.25">
      <c r="A25" s="301"/>
      <c r="B25" s="130" t="e">
        <f>VLOOKUP(Table14117[[#This Row],[Shop Order]],'EB210'!A:AA,4,FALSE)</f>
        <v>#N/A</v>
      </c>
      <c r="C25" s="130" t="e">
        <f>VLOOKUP(Table14117[[#This Row],[Shop Order]],'EB210'!A:Y,5,FALSE)</f>
        <v>#N/A</v>
      </c>
      <c r="D25" s="131" t="e">
        <f>VLOOKUP(Table14117[[#This Row],[Shop Order]],'EB210'!A:Y,6,FALSE)</f>
        <v>#N/A</v>
      </c>
      <c r="E25" s="132" t="e">
        <f>VLOOKUP(Table14117[[#This Row],[Shop Order]],'EB210'!A:Y,7,FALSE)</f>
        <v>#N/A</v>
      </c>
      <c r="O25" s="20" t="s">
        <v>31</v>
      </c>
      <c r="P25" s="20"/>
      <c r="Q25" s="21"/>
      <c r="R25" s="255">
        <f>SUMIF('EB210'!$V$3:$V$85,O25,'EB210'!$T$3:$T$85)</f>
        <v>0</v>
      </c>
    </row>
    <row r="26" spans="1:18" x14ac:dyDescent="0.25">
      <c r="A26" s="301"/>
      <c r="B26" s="130" t="e">
        <f>VLOOKUP(Table14117[[#This Row],[Shop Order]],'EB210'!A:AA,4,FALSE)</f>
        <v>#N/A</v>
      </c>
      <c r="C26" s="130" t="e">
        <f>VLOOKUP(Table14117[[#This Row],[Shop Order]],'EB210'!A:Y,5,FALSE)</f>
        <v>#N/A</v>
      </c>
      <c r="D26" s="131" t="e">
        <f>VLOOKUP(Table14117[[#This Row],[Shop Order]],'EB210'!A:Y,6,FALSE)</f>
        <v>#N/A</v>
      </c>
      <c r="E26" s="132" t="e">
        <f>VLOOKUP(Table14117[[#This Row],[Shop Order]],'EB210'!A:Y,7,FALSE)</f>
        <v>#N/A</v>
      </c>
      <c r="O26" s="20" t="s">
        <v>114</v>
      </c>
      <c r="P26" s="20"/>
      <c r="Q26" s="21"/>
      <c r="R26" s="255">
        <f>SUMIF('EB210'!$V$3:$V$85,O26,'EB210'!$T$3:$T$85)</f>
        <v>0</v>
      </c>
    </row>
    <row r="27" spans="1:18" x14ac:dyDescent="0.25">
      <c r="A27" s="301"/>
      <c r="B27" s="130" t="e">
        <f>VLOOKUP(Table14117[[#This Row],[Shop Order]],'EB210'!A:AA,4,FALSE)</f>
        <v>#N/A</v>
      </c>
      <c r="C27" s="130" t="e">
        <f>VLOOKUP(Table14117[[#This Row],[Shop Order]],'EB210'!A:Y,5,FALSE)</f>
        <v>#N/A</v>
      </c>
      <c r="D27" s="131" t="e">
        <f>VLOOKUP(Table14117[[#This Row],[Shop Order]],'EB210'!A:Y,6,FALSE)</f>
        <v>#N/A</v>
      </c>
      <c r="E27" s="132" t="e">
        <f>VLOOKUP(Table14117[[#This Row],[Shop Order]],'EB210'!A:Y,7,FALSE)</f>
        <v>#N/A</v>
      </c>
      <c r="O27" s="20" t="s">
        <v>79</v>
      </c>
      <c r="P27" s="20"/>
      <c r="Q27" s="21"/>
      <c r="R27" s="255">
        <f>SUMIF('EB210'!$V$3:$V$85,O27,'EB210'!$T$3:$T$85)</f>
        <v>0</v>
      </c>
    </row>
    <row r="28" spans="1:18" ht="15.75" thickBot="1" x14ac:dyDescent="0.3">
      <c r="A28" s="301"/>
      <c r="B28" s="130" t="e">
        <f>VLOOKUP(Table14117[[#This Row],[Shop Order]],'EB210'!A:AA,4,FALSE)</f>
        <v>#N/A</v>
      </c>
      <c r="C28" s="130" t="e">
        <f>VLOOKUP(Table14117[[#This Row],[Shop Order]],'EB210'!A:Y,5,FALSE)</f>
        <v>#N/A</v>
      </c>
      <c r="D28" s="131" t="e">
        <f>VLOOKUP(Table14117[[#This Row],[Shop Order]],'EB210'!A:Y,6,FALSE)</f>
        <v>#N/A</v>
      </c>
      <c r="E28" s="132" t="e">
        <f>VLOOKUP(Table14117[[#This Row],[Shop Order]],'EB210'!A:Y,7,FALSE)</f>
        <v>#N/A</v>
      </c>
      <c r="O28" s="20" t="s">
        <v>95</v>
      </c>
      <c r="P28" s="20"/>
      <c r="Q28" s="21"/>
      <c r="R28" s="255">
        <f>SUMIF('EB210'!$V$3:$V$85,O28,'EB210'!$T$3:$T$85)</f>
        <v>0</v>
      </c>
    </row>
    <row r="29" spans="1:18" ht="15" customHeight="1" thickBot="1" x14ac:dyDescent="0.3">
      <c r="A29" s="564" t="s">
        <v>49</v>
      </c>
      <c r="B29" s="565"/>
      <c r="C29" s="566"/>
      <c r="D29" s="75">
        <f>AVERAGE(D23:D24)</f>
        <v>0.90233105542900538</v>
      </c>
      <c r="E29" s="26"/>
      <c r="O29" s="20" t="s">
        <v>44</v>
      </c>
      <c r="P29" s="31"/>
      <c r="Q29" s="31"/>
      <c r="R29" s="255">
        <f>SUMIF('EB210'!$V$3:$V$85,O29,'EB210'!$T$3:$T$85)</f>
        <v>0</v>
      </c>
    </row>
    <row r="30" spans="1:18" x14ac:dyDescent="0.25">
      <c r="O30" s="20" t="s">
        <v>77</v>
      </c>
      <c r="P30" s="31"/>
      <c r="Q30" s="31"/>
      <c r="R30" s="255">
        <f>SUMIF('EB210'!$V$3:$V$85,O30,'EB210'!$T$3:$T$85)</f>
        <v>0</v>
      </c>
    </row>
    <row r="31" spans="1:18" ht="30.75" customHeight="1" x14ac:dyDescent="0.25">
      <c r="E31" s="23"/>
    </row>
    <row r="32" spans="1:18" ht="38.25" customHeight="1" x14ac:dyDescent="0.25">
      <c r="E32" s="23"/>
    </row>
    <row r="33" spans="5:5" ht="33.75" customHeight="1" x14ac:dyDescent="0.25">
      <c r="E33" s="23"/>
    </row>
  </sheetData>
  <autoFilter ref="O4:R4" xr:uid="{00000000-0009-0000-0000-000001000000}">
    <filterColumn colId="0" showButton="0"/>
    <filterColumn colId="1" showButton="0"/>
    <sortState xmlns:xlrd2="http://schemas.microsoft.com/office/spreadsheetml/2017/richdata2" ref="O5:R29">
      <sortCondition descending="1" ref="R4"/>
    </sortState>
  </autoFilter>
  <dataConsolidate/>
  <mergeCells count="5">
    <mergeCell ref="A1:R1"/>
    <mergeCell ref="O3:R3"/>
    <mergeCell ref="O4:Q4"/>
    <mergeCell ref="A29:C29"/>
    <mergeCell ref="A21:E21"/>
  </mergeCells>
  <phoneticPr fontId="33" type="noConversion"/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6">
    <pageSetUpPr fitToPage="1"/>
  </sheetPr>
  <dimension ref="A1:R56"/>
  <sheetViews>
    <sheetView showGridLines="0" zoomScaleNormal="100" workbookViewId="0">
      <selection activeCell="E38" sqref="E38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8" width="10.7109375" style="23" customWidth="1"/>
    <col min="9" max="9" width="12.5703125" style="23" customWidth="1"/>
    <col min="10" max="14" width="10.7109375" style="23" customWidth="1"/>
    <col min="15" max="15" width="18" style="23" customWidth="1"/>
    <col min="16" max="17" width="10.7109375" style="23" customWidth="1"/>
    <col min="18" max="18" width="11" style="23" bestFit="1" customWidth="1"/>
    <col min="19" max="16384" width="9.140625" style="23"/>
  </cols>
  <sheetData>
    <row r="1" spans="1:18" ht="54" customHeight="1" x14ac:dyDescent="0.25">
      <c r="A1" s="558" t="s">
        <v>104</v>
      </c>
      <c r="B1" s="558"/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  <c r="R1" s="558"/>
    </row>
    <row r="3" spans="1:18" ht="26.25" customHeight="1" x14ac:dyDescent="0.25">
      <c r="O3" s="559" t="s">
        <v>50</v>
      </c>
      <c r="P3" s="560"/>
      <c r="Q3" s="560"/>
      <c r="R3" s="560"/>
    </row>
    <row r="4" spans="1:18" x14ac:dyDescent="0.25">
      <c r="O4" s="571" t="s">
        <v>20</v>
      </c>
      <c r="P4" s="571"/>
      <c r="Q4" s="571"/>
      <c r="R4" s="256" t="s">
        <v>24</v>
      </c>
    </row>
    <row r="5" spans="1:18" x14ac:dyDescent="0.25">
      <c r="O5" s="17" t="s">
        <v>26</v>
      </c>
      <c r="P5" s="17"/>
      <c r="Q5" s="17"/>
      <c r="R5" s="255">
        <f>SUMIF('EB240'!$X$390:$X$507,O5,'EB240'!$V$390:$V$507)</f>
        <v>38</v>
      </c>
    </row>
    <row r="6" spans="1:18" x14ac:dyDescent="0.25">
      <c r="O6" s="17" t="s">
        <v>15</v>
      </c>
      <c r="P6" s="17"/>
      <c r="Q6" s="17"/>
      <c r="R6" s="255">
        <f>SUMIF('EB240'!$X$390:$X$507,O6,'EB240'!$V$390:$V$507)</f>
        <v>31</v>
      </c>
    </row>
    <row r="7" spans="1:18" x14ac:dyDescent="0.25">
      <c r="O7" s="17" t="s">
        <v>14</v>
      </c>
      <c r="P7" s="17"/>
      <c r="Q7" s="17"/>
      <c r="R7" s="255">
        <f>SUMIF('EB240'!$X$390:$X$507,O7,'EB240'!$V$390:$V$507)</f>
        <v>15</v>
      </c>
    </row>
    <row r="8" spans="1:18" x14ac:dyDescent="0.25">
      <c r="O8" s="17" t="s">
        <v>48</v>
      </c>
      <c r="P8" s="17"/>
      <c r="Q8" s="17"/>
      <c r="R8" s="255">
        <f>SUMIF('EB240'!$X$390:$X$507,O8,'EB240'!$V$390:$V$507)</f>
        <v>9</v>
      </c>
    </row>
    <row r="9" spans="1:18" x14ac:dyDescent="0.25">
      <c r="O9" s="17" t="s">
        <v>13</v>
      </c>
      <c r="P9" s="17"/>
      <c r="Q9" s="17"/>
      <c r="R9" s="255">
        <f>SUMIF('EB240'!$X$390:$X$507,O9,'EB240'!$V$390:$V$507)</f>
        <v>6</v>
      </c>
    </row>
    <row r="10" spans="1:18" x14ac:dyDescent="0.25">
      <c r="O10" s="17" t="s">
        <v>27</v>
      </c>
      <c r="P10" s="17"/>
      <c r="Q10" s="17"/>
      <c r="R10" s="255">
        <f>SUMIF('EB240'!$X$390:$X$507,O10,'EB240'!$V$390:$V$507)</f>
        <v>5</v>
      </c>
    </row>
    <row r="11" spans="1:18" x14ac:dyDescent="0.25">
      <c r="O11" s="17" t="s">
        <v>0</v>
      </c>
      <c r="P11" s="17"/>
      <c r="Q11" s="17"/>
      <c r="R11" s="255">
        <f>SUMIF('EB240'!$X$390:$X$507,O11,'EB240'!$V$390:$V$507)</f>
        <v>3</v>
      </c>
    </row>
    <row r="12" spans="1:18" x14ac:dyDescent="0.25">
      <c r="O12" s="17" t="s">
        <v>19</v>
      </c>
      <c r="P12" s="17"/>
      <c r="Q12" s="17"/>
      <c r="R12" s="255">
        <f>SUMIF('EB240'!$X$390:$X$507,O12,'EB240'!$V$390:$V$507)</f>
        <v>3</v>
      </c>
    </row>
    <row r="13" spans="1:18" x14ac:dyDescent="0.25">
      <c r="O13" s="17" t="s">
        <v>68</v>
      </c>
      <c r="P13" s="17"/>
      <c r="Q13" s="17"/>
      <c r="R13" s="255">
        <f>SUMIF('EB240'!$X$390:$X$507,O13,'EB240'!$V$390:$V$507)</f>
        <v>3</v>
      </c>
    </row>
    <row r="14" spans="1:18" x14ac:dyDescent="0.25">
      <c r="O14" s="17" t="s">
        <v>3</v>
      </c>
      <c r="P14" s="17"/>
      <c r="Q14" s="17"/>
      <c r="R14" s="255">
        <f>SUMIF('EB240'!$X$390:$X$507,O14,'EB240'!$V$390:$V$507)</f>
        <v>2</v>
      </c>
    </row>
    <row r="15" spans="1:18" x14ac:dyDescent="0.25">
      <c r="O15" s="17" t="s">
        <v>3</v>
      </c>
      <c r="P15" s="17"/>
      <c r="Q15" s="17"/>
      <c r="R15" s="255">
        <f>SUMIF('EB240'!$X$390:$X$507,O15,'EB240'!$V$390:$V$507)</f>
        <v>2</v>
      </c>
    </row>
    <row r="16" spans="1:18" x14ac:dyDescent="0.25">
      <c r="O16" s="17" t="s">
        <v>7</v>
      </c>
      <c r="P16" s="17"/>
      <c r="Q16" s="17"/>
      <c r="R16" s="255">
        <f>SUMIF('EB240'!$X$390:$X$507,O16,'EB240'!$V$390:$V$507)</f>
        <v>2</v>
      </c>
    </row>
    <row r="17" spans="1:18" x14ac:dyDescent="0.25">
      <c r="O17" s="17" t="s">
        <v>12</v>
      </c>
      <c r="P17" s="17"/>
      <c r="Q17" s="17"/>
      <c r="R17" s="255">
        <f>SUMIF('EB240'!$X$390:$X$507,O17,'EB240'!$V$390:$V$507)</f>
        <v>1</v>
      </c>
    </row>
    <row r="18" spans="1:18" x14ac:dyDescent="0.25">
      <c r="O18" s="17" t="s">
        <v>18</v>
      </c>
      <c r="P18" s="17"/>
      <c r="Q18" s="17"/>
      <c r="R18" s="255">
        <f>SUMIF('EB240'!$X$390:$X$507,O18,'EB240'!$V$390:$V$507)</f>
        <v>1</v>
      </c>
    </row>
    <row r="19" spans="1:18" x14ac:dyDescent="0.25">
      <c r="O19" s="17" t="s">
        <v>89</v>
      </c>
      <c r="P19" s="17"/>
      <c r="Q19" s="17"/>
      <c r="R19" s="255">
        <f>SUMIF('EB240'!$X$390:$X$507,O19,'EB240'!$V$390:$V$507)</f>
        <v>0</v>
      </c>
    </row>
    <row r="20" spans="1:18" x14ac:dyDescent="0.25">
      <c r="O20" s="17" t="s">
        <v>8</v>
      </c>
      <c r="P20" s="17"/>
      <c r="Q20" s="17"/>
      <c r="R20" s="255">
        <f>SUMIF('EB240'!$X$390:$X$507,O20,'EB240'!$V$390:$V$507)</f>
        <v>0</v>
      </c>
    </row>
    <row r="21" spans="1:18" ht="27.75" customHeight="1" x14ac:dyDescent="0.25">
      <c r="A21" s="567" t="s">
        <v>62</v>
      </c>
      <c r="B21" s="568"/>
      <c r="C21" s="568"/>
      <c r="D21" s="568"/>
      <c r="E21" s="569"/>
      <c r="O21" s="17" t="s">
        <v>65</v>
      </c>
      <c r="P21" s="17"/>
      <c r="Q21" s="17"/>
      <c r="R21" s="255">
        <f>SUMIF('EB240'!$X$390:$X$507,O21,'EB240'!$V$390:$V$507)</f>
        <v>0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16" t="s">
        <v>23</v>
      </c>
      <c r="O22" s="17" t="s">
        <v>61</v>
      </c>
      <c r="P22" s="17"/>
      <c r="Q22" s="17"/>
      <c r="R22" s="255">
        <f>SUMIF('EB240'!$X$390:$X$507,O22,'EB240'!$V$390:$V$507)</f>
        <v>0</v>
      </c>
    </row>
    <row r="23" spans="1:18" x14ac:dyDescent="0.25">
      <c r="A23" s="329">
        <v>1512675</v>
      </c>
      <c r="B23" s="130">
        <f>VLOOKUP(Table143611[[#This Row],[Shop Order]],'EB240'!A:AC,4,FALSE)</f>
        <v>622</v>
      </c>
      <c r="C23" s="130">
        <f>VLOOKUP(Table143611[[#This Row],[Shop Order]],'EB240'!A:AC,5,FALSE)</f>
        <v>563</v>
      </c>
      <c r="D23" s="131">
        <f>VLOOKUP(Table143611[[#This Row],[Shop Order]],'EB240'!A:AC,6,FALSE)</f>
        <v>0.90514469453376201</v>
      </c>
      <c r="E23" s="132">
        <f>VLOOKUP(Table143611[[#This Row],[Shop Order]],'EB240'!A:AC,7,FALSE)</f>
        <v>45317</v>
      </c>
      <c r="O23" s="17" t="s">
        <v>39</v>
      </c>
      <c r="P23" s="17"/>
      <c r="Q23" s="17"/>
      <c r="R23" s="255">
        <f>SUMIF('EB240'!$X$390:$X$507,O23,'EB240'!$V$390:$V$507)</f>
        <v>0</v>
      </c>
    </row>
    <row r="24" spans="1:18" x14ac:dyDescent="0.25">
      <c r="A24" s="329">
        <v>1513850</v>
      </c>
      <c r="B24" s="130">
        <f>VLOOKUP(Table143611[[#This Row],[Shop Order]],'EB240'!A:AC,4,FALSE)</f>
        <v>600</v>
      </c>
      <c r="C24" s="130">
        <f>VLOOKUP(Table143611[[#This Row],[Shop Order]],'EB240'!A:AC,5,FALSE)</f>
        <v>563</v>
      </c>
      <c r="D24" s="131">
        <f>VLOOKUP(Table143611[[#This Row],[Shop Order]],'EB240'!A:AC,6,FALSE)</f>
        <v>0.93833333333333335</v>
      </c>
      <c r="E24" s="132">
        <f>VLOOKUP(Table143611[[#This Row],[Shop Order]],'EB240'!A:AC,7,FALSE)</f>
        <v>45329</v>
      </c>
      <c r="O24" s="17" t="s">
        <v>38</v>
      </c>
      <c r="P24" s="17"/>
      <c r="Q24" s="17"/>
      <c r="R24" s="255">
        <f>SUMIF('EB240'!$X$390:$X$507,O24,'EB240'!$V$390:$V$507)</f>
        <v>0</v>
      </c>
    </row>
    <row r="25" spans="1:18" x14ac:dyDescent="0.25">
      <c r="A25" s="329">
        <v>1514196</v>
      </c>
      <c r="B25" s="130">
        <f>VLOOKUP(Table143611[[#This Row],[Shop Order]],'EB240'!A:AC,4,FALSE)</f>
        <v>587</v>
      </c>
      <c r="C25" s="130">
        <f>VLOOKUP(Table143611[[#This Row],[Shop Order]],'EB240'!A:AC,5,FALSE)</f>
        <v>568</v>
      </c>
      <c r="D25" s="131">
        <f>VLOOKUP(Table143611[[#This Row],[Shop Order]],'EB240'!A:AC,6,FALSE)</f>
        <v>0.96763202725724018</v>
      </c>
      <c r="E25" s="132">
        <f>VLOOKUP(Table143611[[#This Row],[Shop Order]],'EB240'!A:AC,7,FALSE)</f>
        <v>45342</v>
      </c>
      <c r="F25" s="24"/>
      <c r="O25" s="22"/>
      <c r="P25" s="17"/>
      <c r="Q25" s="17"/>
      <c r="R25" s="255">
        <f>SUMIF('EB240'!$X$390:$X$507,O25,'EB240'!$V$390:$V$507)</f>
        <v>0</v>
      </c>
    </row>
    <row r="26" spans="1:18" ht="15" customHeight="1" x14ac:dyDescent="0.25">
      <c r="A26" s="329">
        <v>1516779</v>
      </c>
      <c r="B26" s="130">
        <f>VLOOKUP(Table143611[[#This Row],[Shop Order]],'EB240'!A:AC,4,FALSE)</f>
        <v>590</v>
      </c>
      <c r="C26" s="130">
        <f>VLOOKUP(Table143611[[#This Row],[Shop Order]],'EB240'!A:AC,5,FALSE)</f>
        <v>570</v>
      </c>
      <c r="D26" s="131">
        <f>VLOOKUP(Table143611[[#This Row],[Shop Order]],'EB240'!A:AC,6,FALSE)</f>
        <v>0.96610169491525422</v>
      </c>
      <c r="E26" s="132">
        <f>VLOOKUP(Table143611[[#This Row],[Shop Order]],'EB240'!A:AC,7,FALSE)</f>
        <v>45352</v>
      </c>
      <c r="O26" s="22"/>
      <c r="P26" s="17"/>
      <c r="Q26" s="17"/>
      <c r="R26" s="18"/>
    </row>
    <row r="27" spans="1:18" ht="15" customHeight="1" x14ac:dyDescent="0.25">
      <c r="A27" s="329">
        <v>1517030</v>
      </c>
      <c r="B27" s="130">
        <f>VLOOKUP(Table143611[[#This Row],[Shop Order]],'EB240'!A:AC,4,FALSE)</f>
        <v>602</v>
      </c>
      <c r="C27" s="130">
        <f>VLOOKUP(Table143611[[#This Row],[Shop Order]],'EB240'!A:AC,5,FALSE)</f>
        <v>563</v>
      </c>
      <c r="D27" s="131">
        <f>VLOOKUP(Table143611[[#This Row],[Shop Order]],'EB240'!A:AC,6,FALSE)</f>
        <v>0.93521594684385378</v>
      </c>
      <c r="E27" s="239">
        <f>VLOOKUP(Table143611[[#This Row],[Shop Order]],'EB240'!A:AC,7,FALSE)</f>
        <v>45362</v>
      </c>
      <c r="O27" s="22"/>
      <c r="P27" s="17"/>
      <c r="Q27" s="17"/>
      <c r="R27" s="18"/>
    </row>
    <row r="28" spans="1:18" ht="15" customHeight="1" x14ac:dyDescent="0.25">
      <c r="A28" s="329">
        <v>1514197</v>
      </c>
      <c r="B28" s="130">
        <f>VLOOKUP(Table143611[[#This Row],[Shop Order]],'EB240'!A:AC,4,FALSE)</f>
        <v>629</v>
      </c>
      <c r="C28" s="130">
        <f>VLOOKUP(Table143611[[#This Row],[Shop Order]],'EB240'!A:AC,5,FALSE)</f>
        <v>562</v>
      </c>
      <c r="D28" s="131">
        <f>VLOOKUP(Table143611[[#This Row],[Shop Order]],'EB240'!A:AC,6,FALSE)</f>
        <v>0.89348171701112877</v>
      </c>
      <c r="E28" s="239">
        <f>VLOOKUP(Table143611[[#This Row],[Shop Order]],'EB240'!A:AC,7,FALSE)</f>
        <v>45366</v>
      </c>
      <c r="O28" s="22"/>
      <c r="P28" s="17"/>
      <c r="Q28" s="17"/>
      <c r="R28" s="18"/>
    </row>
    <row r="29" spans="1:18" ht="15" customHeight="1" x14ac:dyDescent="0.25">
      <c r="A29" s="508">
        <v>1518006</v>
      </c>
      <c r="B29" s="509">
        <f>VLOOKUP(Table143611[[#This Row],[Shop Order]],'EB240'!A:AC,4,FALSE)</f>
        <v>594</v>
      </c>
      <c r="C29" s="509">
        <f>VLOOKUP(Table143611[[#This Row],[Shop Order]],'EB240'!A:AC,5,FALSE)</f>
        <v>558</v>
      </c>
      <c r="D29" s="510">
        <f>VLOOKUP(Table143611[[#This Row],[Shop Order]],'EB240'!A:AC,6,FALSE)</f>
        <v>0.93939393939393945</v>
      </c>
      <c r="E29" s="511">
        <f>VLOOKUP(Table143611[[#This Row],[Shop Order]],'EB240'!A:AC,7,FALSE)</f>
        <v>45372</v>
      </c>
      <c r="O29" s="22"/>
      <c r="P29" s="17"/>
      <c r="Q29" s="17"/>
      <c r="R29" s="18"/>
    </row>
    <row r="30" spans="1:18" ht="15" customHeight="1" thickBot="1" x14ac:dyDescent="0.3">
      <c r="A30" s="329">
        <v>1519772</v>
      </c>
      <c r="B30" s="130">
        <f>VLOOKUP(Table143611[[#This Row],[Shop Order]],'EB240'!A:AC,4,FALSE)</f>
        <v>620</v>
      </c>
      <c r="C30" s="130">
        <f>VLOOKUP(Table143611[[#This Row],[Shop Order]],'EB240'!A:AC,5,FALSE)</f>
        <v>572</v>
      </c>
      <c r="D30" s="131">
        <f>VLOOKUP(Table143611[[#This Row],[Shop Order]],'EB240'!A:AC,6,FALSE)</f>
        <v>0.92258064516129035</v>
      </c>
      <c r="E30" s="132">
        <f>VLOOKUP(Table143611[[#This Row],[Shop Order]],'EB240'!A:AC,7,FALSE)</f>
        <v>45378</v>
      </c>
      <c r="O30" s="22"/>
      <c r="P30" s="17"/>
      <c r="Q30" s="17"/>
      <c r="R30" s="18"/>
    </row>
    <row r="31" spans="1:18" ht="15.75" thickBot="1" x14ac:dyDescent="0.3">
      <c r="A31" s="564" t="s">
        <v>49</v>
      </c>
      <c r="B31" s="565"/>
      <c r="C31" s="566"/>
      <c r="D31" s="75">
        <f>AVERAGE(D23:D30)</f>
        <v>0.93348549980622531</v>
      </c>
      <c r="E31" s="27"/>
      <c r="O31" s="22"/>
      <c r="P31" s="17"/>
      <c r="Q31" s="17"/>
      <c r="R31" s="18"/>
    </row>
    <row r="56" spans="15:15" x14ac:dyDescent="0.25">
      <c r="O56" s="17"/>
    </row>
  </sheetData>
  <autoFilter ref="O4:R4" xr:uid="{00000000-0009-0000-0000-000013000000}">
    <filterColumn colId="0" showButton="0"/>
    <filterColumn colId="1" showButton="0"/>
    <sortState xmlns:xlrd2="http://schemas.microsoft.com/office/spreadsheetml/2017/richdata2" ref="O5:R25">
      <sortCondition descending="1" ref="R4"/>
    </sortState>
  </autoFilter>
  <dataConsolidate/>
  <mergeCells count="5">
    <mergeCell ref="A1:R1"/>
    <mergeCell ref="O3:R3"/>
    <mergeCell ref="O4:Q4"/>
    <mergeCell ref="A21:E21"/>
    <mergeCell ref="A31:C31"/>
  </mergeCells>
  <pageMargins left="0" right="0" top="0.75" bottom="0.75" header="0.3" footer="0.3"/>
  <pageSetup scale="70" orientation="landscape" r:id="rId1"/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"/>
  <dimension ref="B1:Q38"/>
  <sheetViews>
    <sheetView showGridLines="0" zoomScale="90" zoomScaleNormal="90" workbookViewId="0">
      <selection activeCell="N5" sqref="N4:N5"/>
    </sheetView>
  </sheetViews>
  <sheetFormatPr defaultRowHeight="15" x14ac:dyDescent="0.25"/>
  <cols>
    <col min="2" max="2" width="15.7109375" customWidth="1"/>
    <col min="3" max="3" width="9" style="23" hidden="1" customWidth="1"/>
    <col min="4" max="4" width="27.7109375" bestFit="1" customWidth="1"/>
    <col min="5" max="5" width="12.7109375" customWidth="1"/>
    <col min="6" max="6" width="12.5703125" style="23" bestFit="1" customWidth="1"/>
    <col min="7" max="7" width="15.7109375" customWidth="1"/>
    <col min="8" max="8" width="15.7109375" style="23" customWidth="1"/>
    <col min="9" max="9" width="15.7109375" customWidth="1"/>
    <col min="10" max="10" width="15.7109375" style="23" customWidth="1"/>
    <col min="11" max="11" width="15.7109375" customWidth="1"/>
    <col min="12" max="12" width="15.7109375" style="23" customWidth="1"/>
    <col min="13" max="14" width="10.7109375" style="23" customWidth="1"/>
    <col min="15" max="15" width="10.7109375" customWidth="1"/>
    <col min="16" max="16" width="11" bestFit="1" customWidth="1"/>
    <col min="17" max="17" width="55.7109375" customWidth="1"/>
  </cols>
  <sheetData>
    <row r="1" spans="2:17" s="23" customFormat="1" x14ac:dyDescent="0.25"/>
    <row r="2" spans="2:17" s="23" customFormat="1" x14ac:dyDescent="0.25"/>
    <row r="3" spans="2:17" s="23" customFormat="1" x14ac:dyDescent="0.25">
      <c r="D3" s="216" t="s">
        <v>47</v>
      </c>
      <c r="E3" s="217"/>
      <c r="G3" s="579" t="s">
        <v>147</v>
      </c>
      <c r="H3" s="579"/>
      <c r="I3" s="579"/>
      <c r="J3" s="579"/>
      <c r="K3" s="579"/>
      <c r="L3" s="579"/>
    </row>
    <row r="4" spans="2:17" s="23" customFormat="1" x14ac:dyDescent="0.25">
      <c r="D4" s="216" t="s">
        <v>22</v>
      </c>
      <c r="E4" s="217"/>
      <c r="G4" s="580"/>
      <c r="H4" s="581"/>
      <c r="I4" s="581"/>
      <c r="J4" s="581"/>
      <c r="K4" s="581"/>
      <c r="L4" s="582"/>
    </row>
    <row r="5" spans="2:17" x14ac:dyDescent="0.25">
      <c r="D5" s="216" t="s">
        <v>122</v>
      </c>
      <c r="E5" s="217"/>
      <c r="G5" s="583"/>
      <c r="H5" s="584"/>
      <c r="I5" s="584"/>
      <c r="J5" s="584"/>
      <c r="K5" s="584"/>
      <c r="L5" s="585"/>
    </row>
    <row r="6" spans="2:17" x14ac:dyDescent="0.25">
      <c r="D6" s="216" t="s">
        <v>123</v>
      </c>
      <c r="E6" s="217"/>
      <c r="G6" s="583"/>
      <c r="H6" s="584"/>
      <c r="I6" s="584"/>
      <c r="J6" s="584"/>
      <c r="K6" s="584"/>
      <c r="L6" s="585"/>
    </row>
    <row r="7" spans="2:17" x14ac:dyDescent="0.25">
      <c r="D7" s="216" t="s">
        <v>124</v>
      </c>
      <c r="E7" s="217"/>
      <c r="G7" s="586"/>
      <c r="H7" s="587"/>
      <c r="I7" s="587"/>
      <c r="J7" s="587"/>
      <c r="K7" s="587"/>
      <c r="L7" s="588"/>
    </row>
    <row r="8" spans="2:17" ht="5.0999999999999996" customHeight="1" x14ac:dyDescent="0.25"/>
    <row r="9" spans="2:17" ht="45" x14ac:dyDescent="0.25">
      <c r="C9" s="218" t="s">
        <v>69</v>
      </c>
      <c r="D9" s="218" t="s">
        <v>121</v>
      </c>
      <c r="E9" s="219" t="s">
        <v>145</v>
      </c>
      <c r="F9" s="219" t="s">
        <v>146</v>
      </c>
      <c r="G9" s="219" t="s">
        <v>133</v>
      </c>
      <c r="H9" s="219" t="s">
        <v>132</v>
      </c>
      <c r="I9" s="219" t="s">
        <v>134</v>
      </c>
      <c r="J9" s="219" t="s">
        <v>135</v>
      </c>
      <c r="K9" s="219" t="s">
        <v>136</v>
      </c>
      <c r="L9" s="219" t="s">
        <v>137</v>
      </c>
      <c r="M9" s="218" t="s">
        <v>125</v>
      </c>
      <c r="N9" s="218" t="s">
        <v>115</v>
      </c>
      <c r="O9" s="219" t="s">
        <v>143</v>
      </c>
      <c r="P9" s="218" t="s">
        <v>2</v>
      </c>
      <c r="Q9" s="218" t="s">
        <v>6</v>
      </c>
    </row>
    <row r="10" spans="2:17" x14ac:dyDescent="0.25">
      <c r="B10" s="572" t="s">
        <v>131</v>
      </c>
      <c r="C10" s="231"/>
      <c r="D10" s="227" t="s">
        <v>15</v>
      </c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>
        <f>SUM(E10,G10,I10,K10,M10,N10)</f>
        <v>0</v>
      </c>
      <c r="P10" s="224" t="e">
        <f t="shared" ref="P10:P37" si="0">O10/$E$6</f>
        <v>#DIV/0!</v>
      </c>
      <c r="Q10" s="220"/>
    </row>
    <row r="11" spans="2:17" x14ac:dyDescent="0.25">
      <c r="B11" s="573"/>
      <c r="C11" s="231"/>
      <c r="D11" s="227" t="s">
        <v>127</v>
      </c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>
        <f>SUM(E11,G11,I11,K11,M11,N11)</f>
        <v>0</v>
      </c>
      <c r="P11" s="224" t="e">
        <f t="shared" si="0"/>
        <v>#DIV/0!</v>
      </c>
      <c r="Q11" s="220"/>
    </row>
    <row r="12" spans="2:17" x14ac:dyDescent="0.25">
      <c r="B12" s="573"/>
      <c r="C12" s="231"/>
      <c r="D12" s="227" t="s">
        <v>48</v>
      </c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>
        <f t="shared" ref="O12:O37" si="1">SUM(E12,G12,I12,K12,M12,N12)</f>
        <v>0</v>
      </c>
      <c r="P12" s="224" t="e">
        <f t="shared" si="0"/>
        <v>#DIV/0!</v>
      </c>
      <c r="Q12" s="220"/>
    </row>
    <row r="13" spans="2:17" x14ac:dyDescent="0.25">
      <c r="B13" s="573"/>
      <c r="C13" s="231"/>
      <c r="D13" s="227" t="s">
        <v>128</v>
      </c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227">
        <f t="shared" si="1"/>
        <v>0</v>
      </c>
      <c r="P13" s="224" t="e">
        <f t="shared" si="0"/>
        <v>#DIV/0!</v>
      </c>
      <c r="Q13" s="220"/>
    </row>
    <row r="14" spans="2:17" x14ac:dyDescent="0.25">
      <c r="B14" s="573"/>
      <c r="C14" s="231"/>
      <c r="D14" s="227" t="s">
        <v>128</v>
      </c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>
        <f t="shared" si="1"/>
        <v>0</v>
      </c>
      <c r="P14" s="224" t="e">
        <f t="shared" si="0"/>
        <v>#DIV/0!</v>
      </c>
      <c r="Q14" s="220"/>
    </row>
    <row r="15" spans="2:17" x14ac:dyDescent="0.25">
      <c r="B15" s="573"/>
      <c r="C15" s="231"/>
      <c r="D15" s="227" t="s">
        <v>129</v>
      </c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>
        <f t="shared" si="1"/>
        <v>0</v>
      </c>
      <c r="P15" s="224" t="e">
        <f t="shared" si="0"/>
        <v>#DIV/0!</v>
      </c>
      <c r="Q15" s="220"/>
    </row>
    <row r="16" spans="2:17" x14ac:dyDescent="0.25">
      <c r="B16" s="573"/>
      <c r="C16" s="231"/>
      <c r="D16" s="227" t="s">
        <v>30</v>
      </c>
      <c r="E16" s="227"/>
      <c r="F16" s="227"/>
      <c r="G16" s="227"/>
      <c r="H16" s="227"/>
      <c r="I16" s="227"/>
      <c r="J16" s="227"/>
      <c r="K16" s="227"/>
      <c r="L16" s="227"/>
      <c r="M16" s="227"/>
      <c r="N16" s="227"/>
      <c r="O16" s="227">
        <f t="shared" si="1"/>
        <v>0</v>
      </c>
      <c r="P16" s="224" t="e">
        <f t="shared" si="0"/>
        <v>#DIV/0!</v>
      </c>
      <c r="Q16" s="220"/>
    </row>
    <row r="17" spans="2:17" x14ac:dyDescent="0.25">
      <c r="B17" s="573"/>
      <c r="C17" s="231"/>
      <c r="D17" s="227" t="s">
        <v>31</v>
      </c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>
        <f t="shared" si="1"/>
        <v>0</v>
      </c>
      <c r="P17" s="224" t="e">
        <f t="shared" si="0"/>
        <v>#DIV/0!</v>
      </c>
      <c r="Q17" s="220"/>
    </row>
    <row r="18" spans="2:17" x14ac:dyDescent="0.25">
      <c r="B18" s="573"/>
      <c r="C18" s="231"/>
      <c r="D18" s="227" t="s">
        <v>114</v>
      </c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>
        <f t="shared" si="1"/>
        <v>0</v>
      </c>
      <c r="P18" s="224" t="e">
        <f t="shared" si="0"/>
        <v>#DIV/0!</v>
      </c>
      <c r="Q18" s="220"/>
    </row>
    <row r="19" spans="2:17" x14ac:dyDescent="0.25">
      <c r="B19" s="573"/>
      <c r="C19" s="231"/>
      <c r="D19" s="227" t="s">
        <v>130</v>
      </c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>
        <f t="shared" si="1"/>
        <v>0</v>
      </c>
      <c r="P19" s="224" t="e">
        <f t="shared" si="0"/>
        <v>#DIV/0!</v>
      </c>
      <c r="Q19" s="220"/>
    </row>
    <row r="20" spans="2:17" x14ac:dyDescent="0.25">
      <c r="B20" s="573"/>
      <c r="C20" s="231"/>
      <c r="D20" s="227" t="s">
        <v>0</v>
      </c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>
        <f t="shared" si="1"/>
        <v>0</v>
      </c>
      <c r="P20" s="224" t="e">
        <f t="shared" si="0"/>
        <v>#DIV/0!</v>
      </c>
      <c r="Q20" s="220"/>
    </row>
    <row r="21" spans="2:17" x14ac:dyDescent="0.25">
      <c r="B21" s="573"/>
      <c r="C21" s="231"/>
      <c r="D21" s="227" t="s">
        <v>11</v>
      </c>
      <c r="E21" s="227"/>
      <c r="F21" s="227"/>
      <c r="G21" s="227"/>
      <c r="H21" s="227"/>
      <c r="I21" s="227"/>
      <c r="J21" s="227"/>
      <c r="K21" s="227"/>
      <c r="L21" s="227"/>
      <c r="M21" s="227"/>
      <c r="N21" s="227"/>
      <c r="O21" s="227">
        <f t="shared" si="1"/>
        <v>0</v>
      </c>
      <c r="P21" s="224" t="e">
        <f t="shared" si="0"/>
        <v>#DIV/0!</v>
      </c>
      <c r="Q21" s="220"/>
    </row>
    <row r="22" spans="2:17" x14ac:dyDescent="0.25">
      <c r="B22" s="573"/>
      <c r="C22" s="231"/>
      <c r="D22" s="227" t="s">
        <v>126</v>
      </c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>
        <f t="shared" si="1"/>
        <v>0</v>
      </c>
      <c r="P22" s="224" t="e">
        <f t="shared" si="0"/>
        <v>#DIV/0!</v>
      </c>
      <c r="Q22" s="220"/>
    </row>
    <row r="23" spans="2:17" ht="15.75" thickBot="1" x14ac:dyDescent="0.3">
      <c r="B23" s="574"/>
      <c r="C23" s="232"/>
      <c r="D23" s="228" t="s">
        <v>27</v>
      </c>
      <c r="E23" s="228"/>
      <c r="F23" s="228"/>
      <c r="G23" s="228"/>
      <c r="H23" s="228"/>
      <c r="I23" s="228"/>
      <c r="J23" s="228"/>
      <c r="K23" s="228"/>
      <c r="L23" s="228"/>
      <c r="M23" s="228"/>
      <c r="N23" s="228"/>
      <c r="O23" s="228">
        <f t="shared" si="1"/>
        <v>0</v>
      </c>
      <c r="P23" s="225" t="e">
        <f t="shared" si="0"/>
        <v>#DIV/0!</v>
      </c>
      <c r="Q23" s="221"/>
    </row>
    <row r="24" spans="2:17" x14ac:dyDescent="0.25">
      <c r="B24" s="575" t="s">
        <v>140</v>
      </c>
      <c r="C24" s="231"/>
      <c r="D24" s="229" t="s">
        <v>138</v>
      </c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9">
        <f t="shared" si="1"/>
        <v>0</v>
      </c>
      <c r="P24" s="226" t="e">
        <f t="shared" si="0"/>
        <v>#DIV/0!</v>
      </c>
      <c r="Q24" s="220"/>
    </row>
    <row r="25" spans="2:17" x14ac:dyDescent="0.25">
      <c r="B25" s="573"/>
      <c r="C25" s="231"/>
      <c r="D25" s="227" t="s">
        <v>3</v>
      </c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>
        <f t="shared" si="1"/>
        <v>0</v>
      </c>
      <c r="P25" s="224" t="e">
        <f t="shared" si="0"/>
        <v>#DIV/0!</v>
      </c>
      <c r="Q25" s="220"/>
    </row>
    <row r="26" spans="2:17" x14ac:dyDescent="0.25">
      <c r="B26" s="573"/>
      <c r="C26" s="231"/>
      <c r="D26" s="227" t="s">
        <v>7</v>
      </c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>
        <f t="shared" si="1"/>
        <v>0</v>
      </c>
      <c r="P26" s="224" t="e">
        <f t="shared" si="0"/>
        <v>#DIV/0!</v>
      </c>
      <c r="Q26" s="220"/>
    </row>
    <row r="27" spans="2:17" x14ac:dyDescent="0.25">
      <c r="B27" s="573"/>
      <c r="C27" s="231"/>
      <c r="D27" s="227" t="s">
        <v>8</v>
      </c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>
        <f t="shared" si="1"/>
        <v>0</v>
      </c>
      <c r="P27" s="224" t="e">
        <f t="shared" si="0"/>
        <v>#DIV/0!</v>
      </c>
      <c r="Q27" s="220"/>
    </row>
    <row r="28" spans="2:17" x14ac:dyDescent="0.25">
      <c r="B28" s="573"/>
      <c r="C28" s="231"/>
      <c r="D28" s="227" t="s">
        <v>77</v>
      </c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>
        <f t="shared" si="1"/>
        <v>0</v>
      </c>
      <c r="P28" s="224" t="e">
        <f t="shared" si="0"/>
        <v>#DIV/0!</v>
      </c>
      <c r="Q28" s="220"/>
    </row>
    <row r="29" spans="2:17" x14ac:dyDescent="0.25">
      <c r="B29" s="573"/>
      <c r="C29" s="231"/>
      <c r="D29" s="227" t="s">
        <v>19</v>
      </c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>
        <f t="shared" si="1"/>
        <v>0</v>
      </c>
      <c r="P29" s="224" t="e">
        <f t="shared" si="0"/>
        <v>#DIV/0!</v>
      </c>
      <c r="Q29" s="220"/>
    </row>
    <row r="30" spans="2:17" x14ac:dyDescent="0.25">
      <c r="B30" s="573"/>
      <c r="C30" s="231"/>
      <c r="D30" s="227" t="s">
        <v>78</v>
      </c>
      <c r="E30" s="227"/>
      <c r="F30" s="227"/>
      <c r="G30" s="227"/>
      <c r="H30" s="227"/>
      <c r="I30" s="227"/>
      <c r="J30" s="227"/>
      <c r="K30" s="227"/>
      <c r="L30" s="227"/>
      <c r="M30" s="227"/>
      <c r="N30" s="227"/>
      <c r="O30" s="227">
        <f t="shared" si="1"/>
        <v>0</v>
      </c>
      <c r="P30" s="224" t="e">
        <f t="shared" si="0"/>
        <v>#DIV/0!</v>
      </c>
      <c r="Q30" s="220"/>
    </row>
    <row r="31" spans="2:17" x14ac:dyDescent="0.25">
      <c r="B31" s="573"/>
      <c r="C31" s="231"/>
      <c r="D31" s="227" t="s">
        <v>109</v>
      </c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>
        <f t="shared" si="1"/>
        <v>0</v>
      </c>
      <c r="P31" s="224" t="e">
        <f t="shared" si="0"/>
        <v>#DIV/0!</v>
      </c>
      <c r="Q31" s="220"/>
    </row>
    <row r="32" spans="2:17" x14ac:dyDescent="0.25">
      <c r="B32" s="573"/>
      <c r="C32" s="231"/>
      <c r="D32" s="227" t="s">
        <v>139</v>
      </c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>
        <f t="shared" si="1"/>
        <v>0</v>
      </c>
      <c r="P32" s="224" t="e">
        <f t="shared" si="0"/>
        <v>#DIV/0!</v>
      </c>
      <c r="Q32" s="220"/>
    </row>
    <row r="33" spans="2:17" ht="15.75" thickBot="1" x14ac:dyDescent="0.3">
      <c r="B33" s="574"/>
      <c r="C33" s="232"/>
      <c r="D33" s="228" t="s">
        <v>80</v>
      </c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228">
        <f t="shared" si="1"/>
        <v>0</v>
      </c>
      <c r="P33" s="225" t="e">
        <f t="shared" si="0"/>
        <v>#DIV/0!</v>
      </c>
      <c r="Q33" s="221"/>
    </row>
    <row r="34" spans="2:17" x14ac:dyDescent="0.25">
      <c r="B34" s="576" t="s">
        <v>142</v>
      </c>
      <c r="C34" s="233"/>
      <c r="D34" s="230" t="s">
        <v>89</v>
      </c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29">
        <f t="shared" si="1"/>
        <v>0</v>
      </c>
      <c r="P34" s="226" t="e">
        <f t="shared" si="0"/>
        <v>#DIV/0!</v>
      </c>
      <c r="Q34" s="222"/>
    </row>
    <row r="35" spans="2:17" x14ac:dyDescent="0.25">
      <c r="B35" s="577"/>
      <c r="C35" s="231"/>
      <c r="D35" s="227" t="s">
        <v>141</v>
      </c>
      <c r="E35" s="227"/>
      <c r="F35" s="227"/>
      <c r="G35" s="227"/>
      <c r="H35" s="227"/>
      <c r="I35" s="227"/>
      <c r="J35" s="227"/>
      <c r="K35" s="227"/>
      <c r="L35" s="227"/>
      <c r="M35" s="227"/>
      <c r="N35" s="227"/>
      <c r="O35" s="227">
        <f t="shared" si="1"/>
        <v>0</v>
      </c>
      <c r="P35" s="224" t="e">
        <f t="shared" si="0"/>
        <v>#DIV/0!</v>
      </c>
      <c r="Q35" s="220"/>
    </row>
    <row r="36" spans="2:17" x14ac:dyDescent="0.25">
      <c r="B36" s="577"/>
      <c r="C36" s="231"/>
      <c r="D36" s="227" t="s">
        <v>139</v>
      </c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7">
        <f t="shared" si="1"/>
        <v>0</v>
      </c>
      <c r="P36" s="224" t="e">
        <f t="shared" si="0"/>
        <v>#DIV/0!</v>
      </c>
      <c r="Q36" s="220"/>
    </row>
    <row r="37" spans="2:17" ht="15.75" thickBot="1" x14ac:dyDescent="0.3">
      <c r="B37" s="578"/>
      <c r="C37" s="231"/>
      <c r="D37" s="228" t="s">
        <v>85</v>
      </c>
      <c r="E37" s="228"/>
      <c r="F37" s="228"/>
      <c r="G37" s="228"/>
      <c r="H37" s="228"/>
      <c r="I37" s="228"/>
      <c r="J37" s="228"/>
      <c r="K37" s="228"/>
      <c r="L37" s="228"/>
      <c r="M37" s="228"/>
      <c r="N37" s="228"/>
      <c r="O37" s="228">
        <f t="shared" si="1"/>
        <v>0</v>
      </c>
      <c r="P37" s="225" t="e">
        <f t="shared" si="0"/>
        <v>#DIV/0!</v>
      </c>
      <c r="Q37" s="221"/>
    </row>
    <row r="38" spans="2:17" x14ac:dyDescent="0.25">
      <c r="D38" s="223" t="s">
        <v>144</v>
      </c>
      <c r="E38" s="220">
        <f>SUM(E10:E37)</f>
        <v>0</v>
      </c>
      <c r="F38" s="220">
        <f>SUM(F10:F37)</f>
        <v>0</v>
      </c>
      <c r="G38" s="220">
        <f t="shared" ref="G38:M38" si="2">SUM(G10:G37)</f>
        <v>0</v>
      </c>
      <c r="H38" s="220">
        <f t="shared" si="2"/>
        <v>0</v>
      </c>
      <c r="I38" s="220">
        <f t="shared" si="2"/>
        <v>0</v>
      </c>
      <c r="J38" s="220">
        <f t="shared" si="2"/>
        <v>0</v>
      </c>
      <c r="K38" s="220">
        <f t="shared" si="2"/>
        <v>0</v>
      </c>
      <c r="L38" s="220">
        <f t="shared" si="2"/>
        <v>0</v>
      </c>
      <c r="M38" s="220">
        <f t="shared" si="2"/>
        <v>0</v>
      </c>
      <c r="N38" s="220">
        <f>SUM(N10:N37)</f>
        <v>0</v>
      </c>
      <c r="O38" s="220">
        <f>SUM(O10:O37)</f>
        <v>0</v>
      </c>
      <c r="P38" s="220" t="e">
        <f>O38/E6</f>
        <v>#DIV/0!</v>
      </c>
    </row>
  </sheetData>
  <mergeCells count="5">
    <mergeCell ref="B10:B23"/>
    <mergeCell ref="B24:B33"/>
    <mergeCell ref="B34:B37"/>
    <mergeCell ref="G3:L3"/>
    <mergeCell ref="G4:L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42"/>
  <sheetViews>
    <sheetView zoomScale="65" zoomScaleNormal="65" zoomScaleSheetLayoutView="90" workbookViewId="0">
      <selection activeCell="U4" sqref="U4"/>
    </sheetView>
  </sheetViews>
  <sheetFormatPr defaultColWidth="9.140625" defaultRowHeight="15" x14ac:dyDescent="0.25"/>
  <cols>
    <col min="1" max="1" width="14.5703125" style="41" bestFit="1" customWidth="1"/>
    <col min="2" max="2" width="12.7109375" style="41" customWidth="1"/>
    <col min="3" max="3" width="7.5703125" style="41" customWidth="1"/>
    <col min="4" max="4" width="10" style="41" customWidth="1"/>
    <col min="5" max="5" width="8" style="41" bestFit="1" customWidth="1"/>
    <col min="6" max="6" width="11.140625" style="41" bestFit="1" customWidth="1"/>
    <col min="7" max="7" width="12.5703125" style="13" bestFit="1" customWidth="1"/>
    <col min="8" max="19" width="14.7109375" style="7" customWidth="1"/>
    <col min="20" max="20" width="8.42578125" style="8" bestFit="1" customWidth="1"/>
    <col min="21" max="21" width="11.140625" style="9" bestFit="1" customWidth="1"/>
    <col min="22" max="22" width="40.7109375" style="41" customWidth="1"/>
    <col min="23" max="23" width="52.28515625" style="10" customWidth="1"/>
    <col min="24" max="29" width="9.140625" style="12"/>
    <col min="30" max="16384" width="9.140625" style="41"/>
  </cols>
  <sheetData>
    <row r="1" spans="1:23" ht="75.75" thickBot="1" x14ac:dyDescent="0.3">
      <c r="A1" s="42" t="s">
        <v>22</v>
      </c>
      <c r="B1" s="42" t="s">
        <v>47</v>
      </c>
      <c r="C1" s="43" t="s">
        <v>52</v>
      </c>
      <c r="D1" s="43" t="s">
        <v>17</v>
      </c>
      <c r="E1" s="42" t="s">
        <v>16</v>
      </c>
      <c r="F1" s="44" t="s">
        <v>1</v>
      </c>
      <c r="G1" s="45" t="s">
        <v>23</v>
      </c>
      <c r="H1" s="46" t="s">
        <v>72</v>
      </c>
      <c r="I1" s="46" t="s">
        <v>73</v>
      </c>
      <c r="J1" s="46" t="s">
        <v>53</v>
      </c>
      <c r="K1" s="46" t="s">
        <v>58</v>
      </c>
      <c r="L1" s="46" t="s">
        <v>54</v>
      </c>
      <c r="M1" s="46" t="s">
        <v>59</v>
      </c>
      <c r="N1" s="46" t="s">
        <v>55</v>
      </c>
      <c r="O1" s="46" t="s">
        <v>60</v>
      </c>
      <c r="P1" s="46" t="s">
        <v>56</v>
      </c>
      <c r="Q1" s="46" t="s">
        <v>74</v>
      </c>
      <c r="R1" s="46" t="s">
        <v>115</v>
      </c>
      <c r="S1" s="46" t="s">
        <v>41</v>
      </c>
      <c r="T1" s="46" t="s">
        <v>4</v>
      </c>
      <c r="U1" s="42" t="s">
        <v>2</v>
      </c>
      <c r="V1" s="80" t="s">
        <v>20</v>
      </c>
      <c r="W1" s="81" t="s">
        <v>6</v>
      </c>
    </row>
    <row r="2" spans="1:23" ht="15.75" thickBot="1" x14ac:dyDescent="0.3">
      <c r="A2" s="316">
        <v>1513568</v>
      </c>
      <c r="B2" s="209" t="s">
        <v>196</v>
      </c>
      <c r="C2" s="316">
        <v>1152</v>
      </c>
      <c r="D2" s="316">
        <v>1387</v>
      </c>
      <c r="E2" s="321">
        <v>1118</v>
      </c>
      <c r="F2" s="322">
        <f>E2/D2</f>
        <v>0.80605623648161495</v>
      </c>
      <c r="G2" s="48">
        <v>45302</v>
      </c>
      <c r="H2" s="82"/>
      <c r="I2" s="83"/>
      <c r="J2" s="83"/>
      <c r="K2" s="83"/>
      <c r="L2" s="83"/>
      <c r="M2" s="83"/>
      <c r="N2" s="83"/>
      <c r="O2" s="83"/>
      <c r="P2" s="83"/>
      <c r="Q2" s="83"/>
      <c r="R2" s="83"/>
      <c r="S2" s="84"/>
      <c r="T2" s="296"/>
      <c r="U2" s="115"/>
      <c r="V2" s="86" t="s">
        <v>75</v>
      </c>
      <c r="W2" s="353" t="s">
        <v>70</v>
      </c>
    </row>
    <row r="3" spans="1:23" ht="15.75" x14ac:dyDescent="0.25">
      <c r="A3" s="87"/>
      <c r="B3" s="88"/>
      <c r="C3" s="88"/>
      <c r="D3" s="88"/>
      <c r="E3" s="88"/>
      <c r="F3" s="88"/>
      <c r="G3" s="89"/>
      <c r="H3" s="90">
        <v>3</v>
      </c>
      <c r="I3" s="91"/>
      <c r="J3" s="91"/>
      <c r="K3" s="91"/>
      <c r="L3" s="91"/>
      <c r="M3" s="91"/>
      <c r="N3" s="91"/>
      <c r="O3" s="91"/>
      <c r="P3" s="91"/>
      <c r="Q3" s="91"/>
      <c r="R3" s="91"/>
      <c r="S3" s="250">
        <v>4</v>
      </c>
      <c r="T3" s="249">
        <f>SUM(H3,J3,L3,N3,P3,R3,S3)</f>
        <v>7</v>
      </c>
      <c r="U3" s="349">
        <f>($T3)/$D$2</f>
        <v>5.0468637346791634E-3</v>
      </c>
      <c r="V3" s="202" t="s">
        <v>15</v>
      </c>
      <c r="W3" s="210"/>
    </row>
    <row r="4" spans="1:23" ht="15.75" x14ac:dyDescent="0.25">
      <c r="A4" s="96"/>
      <c r="B4" s="97"/>
      <c r="C4" s="97"/>
      <c r="D4" s="97"/>
      <c r="E4" s="97"/>
      <c r="F4" s="97"/>
      <c r="G4" s="98"/>
      <c r="H4" s="348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253"/>
      <c r="T4" s="249">
        <f>SUM(H4,J4,L4,N4,P4,R4,S4)</f>
        <v>0</v>
      </c>
      <c r="U4" s="299">
        <f t="shared" ref="U4:U42" si="0">($T4)/$D$2</f>
        <v>0</v>
      </c>
      <c r="V4" s="206" t="s">
        <v>43</v>
      </c>
      <c r="W4" s="210"/>
    </row>
    <row r="5" spans="1:23" ht="15.75" x14ac:dyDescent="0.25">
      <c r="A5" s="96"/>
      <c r="B5" s="97"/>
      <c r="C5" s="97"/>
      <c r="D5" s="97"/>
      <c r="E5" s="97"/>
      <c r="F5" s="97"/>
      <c r="G5" s="98"/>
      <c r="H5" s="99">
        <v>104</v>
      </c>
      <c r="I5" s="63"/>
      <c r="J5" s="63">
        <v>1</v>
      </c>
      <c r="K5" s="63"/>
      <c r="L5" s="63"/>
      <c r="M5" s="63"/>
      <c r="N5" s="63"/>
      <c r="O5" s="63"/>
      <c r="P5" s="63"/>
      <c r="Q5" s="63"/>
      <c r="R5" s="63"/>
      <c r="S5" s="251">
        <v>3</v>
      </c>
      <c r="T5" s="247">
        <f t="shared" ref="T5:T31" si="1">SUM(H5,J5,L5,N5,P5,R5,S5)</f>
        <v>108</v>
      </c>
      <c r="U5" s="93">
        <f t="shared" si="0"/>
        <v>7.7865897620764235E-2</v>
      </c>
      <c r="V5" s="203" t="s">
        <v>5</v>
      </c>
      <c r="W5" s="351"/>
    </row>
    <row r="6" spans="1:23" ht="15.75" x14ac:dyDescent="0.25">
      <c r="A6" s="96"/>
      <c r="B6" s="97"/>
      <c r="C6" s="97"/>
      <c r="D6" s="97"/>
      <c r="E6" s="104"/>
      <c r="F6" s="104"/>
      <c r="G6" s="98"/>
      <c r="H6" s="99">
        <v>78</v>
      </c>
      <c r="I6" s="63"/>
      <c r="J6" s="63">
        <v>5</v>
      </c>
      <c r="K6" s="63"/>
      <c r="L6" s="63"/>
      <c r="M6" s="63"/>
      <c r="N6" s="63"/>
      <c r="O6" s="63"/>
      <c r="P6" s="63"/>
      <c r="Q6" s="63"/>
      <c r="R6" s="63"/>
      <c r="S6" s="251"/>
      <c r="T6" s="247">
        <f t="shared" si="1"/>
        <v>83</v>
      </c>
      <c r="U6" s="93">
        <f t="shared" si="0"/>
        <v>5.9841384282624366E-2</v>
      </c>
      <c r="V6" s="203" t="s">
        <v>13</v>
      </c>
      <c r="W6" s="244"/>
    </row>
    <row r="7" spans="1:23" ht="15.75" x14ac:dyDescent="0.25">
      <c r="A7" s="96"/>
      <c r="B7" s="97"/>
      <c r="C7" s="97"/>
      <c r="D7" s="97"/>
      <c r="E7" s="104"/>
      <c r="F7" s="104"/>
      <c r="G7" s="98"/>
      <c r="H7" s="99">
        <v>7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251">
        <v>3</v>
      </c>
      <c r="T7" s="247">
        <f t="shared" si="1"/>
        <v>10</v>
      </c>
      <c r="U7" s="93">
        <f t="shared" si="0"/>
        <v>7.2098053352559477E-3</v>
      </c>
      <c r="V7" s="203" t="s">
        <v>14</v>
      </c>
      <c r="W7" s="311"/>
    </row>
    <row r="8" spans="1:23" ht="15.75" x14ac:dyDescent="0.25">
      <c r="A8" s="96"/>
      <c r="B8" s="97"/>
      <c r="C8" s="97"/>
      <c r="D8" s="97"/>
      <c r="E8" s="104"/>
      <c r="F8" s="104"/>
      <c r="G8" s="98"/>
      <c r="H8" s="99">
        <v>3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251"/>
      <c r="T8" s="247">
        <f t="shared" si="1"/>
        <v>3</v>
      </c>
      <c r="U8" s="93">
        <f t="shared" si="0"/>
        <v>2.1629416005767843E-3</v>
      </c>
      <c r="V8" s="203" t="s">
        <v>30</v>
      </c>
      <c r="W8" s="311"/>
    </row>
    <row r="9" spans="1:23" ht="15.75" x14ac:dyDescent="0.25">
      <c r="A9" s="96"/>
      <c r="B9" s="97"/>
      <c r="C9" s="97"/>
      <c r="D9" s="97"/>
      <c r="E9" s="104"/>
      <c r="F9" s="104"/>
      <c r="G9" s="98"/>
      <c r="H9" s="99">
        <v>4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251"/>
      <c r="T9" s="247">
        <f t="shared" si="1"/>
        <v>4</v>
      </c>
      <c r="U9" s="93">
        <f t="shared" si="0"/>
        <v>2.8839221341023791E-3</v>
      </c>
      <c r="V9" s="203" t="s">
        <v>31</v>
      </c>
      <c r="W9" s="105"/>
    </row>
    <row r="10" spans="1:23" ht="15.75" x14ac:dyDescent="0.25">
      <c r="A10" s="96"/>
      <c r="B10" s="97"/>
      <c r="C10" s="97"/>
      <c r="D10" s="97"/>
      <c r="E10" s="104"/>
      <c r="F10" s="104"/>
      <c r="G10" s="98"/>
      <c r="H10" s="99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251"/>
      <c r="T10" s="247">
        <f t="shared" si="1"/>
        <v>0</v>
      </c>
      <c r="U10" s="93">
        <f t="shared" si="0"/>
        <v>0</v>
      </c>
      <c r="V10" s="203" t="s">
        <v>168</v>
      </c>
      <c r="W10" s="323"/>
    </row>
    <row r="11" spans="1:23" ht="15.75" x14ac:dyDescent="0.25">
      <c r="A11" s="96"/>
      <c r="B11" s="97"/>
      <c r="C11" s="97"/>
      <c r="D11" s="97"/>
      <c r="E11" s="104"/>
      <c r="F11" s="104"/>
      <c r="G11" s="98"/>
      <c r="H11" s="99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251"/>
      <c r="T11" s="247">
        <f t="shared" si="1"/>
        <v>0</v>
      </c>
      <c r="U11" s="93">
        <f t="shared" si="0"/>
        <v>0</v>
      </c>
      <c r="V11" s="204" t="s">
        <v>202</v>
      </c>
      <c r="W11" s="105"/>
    </row>
    <row r="12" spans="1:23" ht="15.75" x14ac:dyDescent="0.25">
      <c r="A12" s="96"/>
      <c r="B12" s="97"/>
      <c r="C12" s="97"/>
      <c r="D12" s="97"/>
      <c r="E12" s="104"/>
      <c r="F12" s="104"/>
      <c r="G12" s="98"/>
      <c r="H12" s="99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251">
        <v>1</v>
      </c>
      <c r="T12" s="247">
        <f t="shared" si="1"/>
        <v>1</v>
      </c>
      <c r="U12" s="93">
        <f t="shared" si="0"/>
        <v>7.2098053352559477E-4</v>
      </c>
      <c r="V12" s="203" t="s">
        <v>0</v>
      </c>
      <c r="W12" s="354"/>
    </row>
    <row r="13" spans="1:23" ht="15.75" x14ac:dyDescent="0.25">
      <c r="A13" s="96"/>
      <c r="B13" s="97"/>
      <c r="C13" s="97"/>
      <c r="D13" s="97"/>
      <c r="E13" s="104"/>
      <c r="F13" s="104"/>
      <c r="G13" s="98"/>
      <c r="H13" s="99">
        <v>4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251"/>
      <c r="T13" s="247">
        <f t="shared" si="1"/>
        <v>4</v>
      </c>
      <c r="U13" s="93">
        <f t="shared" si="0"/>
        <v>2.8839221341023791E-3</v>
      </c>
      <c r="V13" s="203" t="s">
        <v>11</v>
      </c>
      <c r="W13" s="354"/>
    </row>
    <row r="14" spans="1:23" ht="15.75" x14ac:dyDescent="0.25">
      <c r="A14" s="96"/>
      <c r="B14" s="97"/>
      <c r="C14" s="97"/>
      <c r="D14" s="97"/>
      <c r="E14" s="104"/>
      <c r="F14" s="104" t="s">
        <v>100</v>
      </c>
      <c r="G14" s="98"/>
      <c r="H14" s="99">
        <v>18</v>
      </c>
      <c r="I14" s="63"/>
      <c r="J14" s="63">
        <v>2</v>
      </c>
      <c r="K14" s="63"/>
      <c r="L14" s="63"/>
      <c r="M14" s="63"/>
      <c r="N14" s="63"/>
      <c r="O14" s="63"/>
      <c r="P14" s="63"/>
      <c r="Q14" s="63"/>
      <c r="R14" s="63"/>
      <c r="S14" s="251">
        <v>4</v>
      </c>
      <c r="T14" s="247">
        <f t="shared" si="1"/>
        <v>24</v>
      </c>
      <c r="U14" s="93">
        <f t="shared" si="0"/>
        <v>1.7303532804614274E-2</v>
      </c>
      <c r="V14" s="203" t="s">
        <v>33</v>
      </c>
      <c r="W14" s="326"/>
    </row>
    <row r="15" spans="1:23" ht="15.75" x14ac:dyDescent="0.25">
      <c r="A15" s="96"/>
      <c r="B15" s="97"/>
      <c r="C15" s="97"/>
      <c r="D15" s="97"/>
      <c r="E15" s="104"/>
      <c r="F15" s="104"/>
      <c r="G15" s="98"/>
      <c r="H15" s="99"/>
      <c r="I15" s="63"/>
      <c r="J15" s="63">
        <v>4</v>
      </c>
      <c r="K15" s="63"/>
      <c r="L15" s="63"/>
      <c r="M15" s="63"/>
      <c r="N15" s="63"/>
      <c r="O15" s="63"/>
      <c r="P15" s="63"/>
      <c r="Q15" s="63"/>
      <c r="R15" s="63"/>
      <c r="S15" s="251"/>
      <c r="T15" s="247">
        <f t="shared" si="1"/>
        <v>4</v>
      </c>
      <c r="U15" s="93">
        <f t="shared" si="0"/>
        <v>2.8839221341023791E-3</v>
      </c>
      <c r="V15" s="204" t="s">
        <v>27</v>
      </c>
      <c r="W15" s="354"/>
    </row>
    <row r="16" spans="1:23" ht="15.75" x14ac:dyDescent="0.25">
      <c r="A16" s="96"/>
      <c r="B16" s="97"/>
      <c r="C16" s="97"/>
      <c r="D16" s="97"/>
      <c r="E16" s="104"/>
      <c r="F16" s="104"/>
      <c r="G16" s="109"/>
      <c r="H16" s="110">
        <v>2</v>
      </c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251"/>
      <c r="T16" s="247">
        <f t="shared" si="1"/>
        <v>2</v>
      </c>
      <c r="U16" s="93">
        <f t="shared" si="0"/>
        <v>1.4419610670511895E-3</v>
      </c>
      <c r="V16" s="204" t="s">
        <v>26</v>
      </c>
      <c r="W16" s="212"/>
    </row>
    <row r="17" spans="1:23" ht="15.75" x14ac:dyDescent="0.25">
      <c r="A17" s="96"/>
      <c r="B17" s="97"/>
      <c r="C17" s="97"/>
      <c r="D17" s="97"/>
      <c r="E17" s="104"/>
      <c r="F17" s="104"/>
      <c r="G17" s="109"/>
      <c r="H17" s="110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251"/>
      <c r="T17" s="247">
        <f t="shared" si="1"/>
        <v>0</v>
      </c>
      <c r="U17" s="93">
        <f t="shared" si="0"/>
        <v>0</v>
      </c>
      <c r="V17" s="204" t="s">
        <v>236</v>
      </c>
      <c r="W17" s="103"/>
    </row>
    <row r="18" spans="1:23" ht="16.5" thickBot="1" x14ac:dyDescent="0.3">
      <c r="A18" s="96"/>
      <c r="B18" s="97"/>
      <c r="C18" s="97"/>
      <c r="D18" s="97"/>
      <c r="E18" s="104"/>
      <c r="F18" s="104"/>
      <c r="G18" s="109"/>
      <c r="H18" s="186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252"/>
      <c r="T18" s="248">
        <f t="shared" si="1"/>
        <v>0</v>
      </c>
      <c r="U18" s="245">
        <f t="shared" si="0"/>
        <v>0</v>
      </c>
      <c r="V18" s="205" t="s">
        <v>71</v>
      </c>
      <c r="W18" s="212"/>
    </row>
    <row r="19" spans="1:23" ht="15.75" x14ac:dyDescent="0.25">
      <c r="A19" s="96"/>
      <c r="B19" s="97"/>
      <c r="C19" s="97"/>
      <c r="D19" s="97"/>
      <c r="E19" s="104"/>
      <c r="F19" s="104"/>
      <c r="G19" s="98"/>
      <c r="H19" s="90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253"/>
      <c r="T19" s="249">
        <f t="shared" si="1"/>
        <v>0</v>
      </c>
      <c r="U19" s="183">
        <f t="shared" si="0"/>
        <v>0</v>
      </c>
      <c r="V19" s="206" t="s">
        <v>10</v>
      </c>
      <c r="W19" s="106"/>
    </row>
    <row r="20" spans="1:23" ht="15.75" x14ac:dyDescent="0.25">
      <c r="A20" s="96"/>
      <c r="B20" s="97"/>
      <c r="C20" s="97"/>
      <c r="D20" s="97"/>
      <c r="E20" s="104"/>
      <c r="F20" s="104"/>
      <c r="G20" s="98"/>
      <c r="H20" s="99"/>
      <c r="I20" s="213"/>
      <c r="J20" s="63"/>
      <c r="K20" s="63"/>
      <c r="L20" s="63"/>
      <c r="M20" s="63"/>
      <c r="N20" s="63"/>
      <c r="O20" s="63"/>
      <c r="P20" s="63"/>
      <c r="Q20" s="63"/>
      <c r="R20" s="63"/>
      <c r="S20" s="251"/>
      <c r="T20" s="247">
        <f t="shared" si="1"/>
        <v>0</v>
      </c>
      <c r="U20" s="93">
        <f t="shared" si="0"/>
        <v>0</v>
      </c>
      <c r="V20" s="331" t="s">
        <v>94</v>
      </c>
      <c r="W20" s="106"/>
    </row>
    <row r="21" spans="1:23" ht="15.75" x14ac:dyDescent="0.25">
      <c r="A21" s="96"/>
      <c r="B21" s="97"/>
      <c r="C21" s="97"/>
      <c r="D21" s="97"/>
      <c r="E21" s="104"/>
      <c r="F21" s="104"/>
      <c r="G21" s="98"/>
      <c r="H21" s="99"/>
      <c r="I21" s="214"/>
      <c r="J21" s="63">
        <v>2</v>
      </c>
      <c r="K21" s="63"/>
      <c r="L21" s="63"/>
      <c r="M21" s="63"/>
      <c r="N21" s="63"/>
      <c r="O21" s="63"/>
      <c r="P21" s="63"/>
      <c r="Q21" s="63"/>
      <c r="R21" s="63"/>
      <c r="S21" s="251">
        <v>1</v>
      </c>
      <c r="T21" s="247">
        <f t="shared" si="1"/>
        <v>3</v>
      </c>
      <c r="U21" s="93">
        <f t="shared" si="0"/>
        <v>2.1629416005767843E-3</v>
      </c>
      <c r="V21" s="203" t="s">
        <v>3</v>
      </c>
      <c r="W21" s="105"/>
    </row>
    <row r="22" spans="1:23" ht="15.75" x14ac:dyDescent="0.25">
      <c r="A22" s="96"/>
      <c r="B22" s="97"/>
      <c r="C22" s="97"/>
      <c r="D22" s="97"/>
      <c r="E22" s="97"/>
      <c r="F22" s="104"/>
      <c r="G22" s="98"/>
      <c r="H22" s="99"/>
      <c r="I22" s="214"/>
      <c r="J22" s="63"/>
      <c r="K22" s="63"/>
      <c r="L22" s="63"/>
      <c r="M22" s="63"/>
      <c r="N22" s="63"/>
      <c r="O22" s="63"/>
      <c r="P22" s="63"/>
      <c r="Q22" s="63"/>
      <c r="R22" s="63"/>
      <c r="S22" s="251"/>
      <c r="T22" s="247">
        <f t="shared" si="1"/>
        <v>0</v>
      </c>
      <c r="U22" s="93">
        <f t="shared" si="0"/>
        <v>0</v>
      </c>
      <c r="V22" s="203" t="s">
        <v>7</v>
      </c>
      <c r="W22" s="106"/>
    </row>
    <row r="23" spans="1:23" ht="15.75" x14ac:dyDescent="0.25">
      <c r="A23" s="96"/>
      <c r="B23" s="97"/>
      <c r="C23" s="97"/>
      <c r="D23" s="97"/>
      <c r="E23" s="97"/>
      <c r="F23" s="104"/>
      <c r="G23" s="98"/>
      <c r="H23" s="99"/>
      <c r="I23" s="214">
        <v>3</v>
      </c>
      <c r="J23" s="63"/>
      <c r="K23" s="63"/>
      <c r="L23" s="63"/>
      <c r="M23" s="63"/>
      <c r="N23" s="63"/>
      <c r="O23" s="63"/>
      <c r="P23" s="63"/>
      <c r="Q23" s="63"/>
      <c r="R23" s="63"/>
      <c r="S23" s="251">
        <v>2</v>
      </c>
      <c r="T23" s="247">
        <f t="shared" si="1"/>
        <v>2</v>
      </c>
      <c r="U23" s="93">
        <f t="shared" si="0"/>
        <v>1.4419610670511895E-3</v>
      </c>
      <c r="V23" s="203" t="s">
        <v>8</v>
      </c>
      <c r="W23" s="354"/>
    </row>
    <row r="24" spans="1:23" ht="15.75" x14ac:dyDescent="0.25">
      <c r="A24" s="96"/>
      <c r="B24" s="97"/>
      <c r="C24" s="97"/>
      <c r="D24" s="97"/>
      <c r="E24" s="97"/>
      <c r="F24" s="104"/>
      <c r="G24" s="98"/>
      <c r="H24" s="99"/>
      <c r="I24" s="214"/>
      <c r="J24" s="63"/>
      <c r="K24" s="63"/>
      <c r="L24" s="63"/>
      <c r="M24" s="63"/>
      <c r="N24" s="63"/>
      <c r="O24" s="63"/>
      <c r="P24" s="63"/>
      <c r="Q24" s="63"/>
      <c r="R24" s="63"/>
      <c r="S24" s="251"/>
      <c r="T24" s="247">
        <f t="shared" si="1"/>
        <v>0</v>
      </c>
      <c r="U24" s="93">
        <f t="shared" si="0"/>
        <v>0</v>
      </c>
      <c r="V24" s="203" t="s">
        <v>77</v>
      </c>
      <c r="W24" s="354" t="s">
        <v>198</v>
      </c>
    </row>
    <row r="25" spans="1:23" ht="15.75" x14ac:dyDescent="0.25">
      <c r="A25" s="96"/>
      <c r="B25" s="97"/>
      <c r="C25" s="97"/>
      <c r="D25" s="97"/>
      <c r="E25" s="97"/>
      <c r="F25" s="104"/>
      <c r="G25" s="98"/>
      <c r="H25" s="99"/>
      <c r="I25" s="214">
        <v>2</v>
      </c>
      <c r="J25" s="63"/>
      <c r="K25" s="63"/>
      <c r="L25" s="63"/>
      <c r="M25" s="63"/>
      <c r="N25" s="63"/>
      <c r="O25" s="63"/>
      <c r="P25" s="63"/>
      <c r="Q25" s="63"/>
      <c r="R25" s="63"/>
      <c r="S25" s="251">
        <v>2</v>
      </c>
      <c r="T25" s="247">
        <f t="shared" si="1"/>
        <v>2</v>
      </c>
      <c r="U25" s="93">
        <f t="shared" si="0"/>
        <v>1.4419610670511895E-3</v>
      </c>
      <c r="V25" s="203" t="s">
        <v>19</v>
      </c>
      <c r="W25" s="354" t="s">
        <v>370</v>
      </c>
    </row>
    <row r="26" spans="1:23" ht="15.75" x14ac:dyDescent="0.25">
      <c r="A26" s="96"/>
      <c r="B26" s="97"/>
      <c r="C26" s="97"/>
      <c r="D26" s="97"/>
      <c r="E26" s="97"/>
      <c r="F26" s="104"/>
      <c r="G26" s="98"/>
      <c r="H26" s="99"/>
      <c r="I26" s="214"/>
      <c r="J26" s="63"/>
      <c r="K26" s="63"/>
      <c r="L26" s="63"/>
      <c r="M26" s="63"/>
      <c r="N26" s="63"/>
      <c r="O26" s="63"/>
      <c r="P26" s="63"/>
      <c r="Q26" s="63"/>
      <c r="R26" s="63"/>
      <c r="S26" s="251"/>
      <c r="T26" s="247">
        <f t="shared" si="1"/>
        <v>0</v>
      </c>
      <c r="U26" s="93">
        <f t="shared" si="0"/>
        <v>0</v>
      </c>
      <c r="V26" s="203" t="s">
        <v>78</v>
      </c>
      <c r="W26" s="354"/>
    </row>
    <row r="27" spans="1:23" ht="15.75" x14ac:dyDescent="0.25">
      <c r="A27" s="96"/>
      <c r="B27" s="97"/>
      <c r="C27" s="97"/>
      <c r="D27" s="97"/>
      <c r="E27" s="97"/>
      <c r="F27" s="104"/>
      <c r="G27" s="98"/>
      <c r="H27" s="99"/>
      <c r="I27" s="214"/>
      <c r="J27" s="63"/>
      <c r="K27" s="63"/>
      <c r="L27" s="63"/>
      <c r="M27" s="63"/>
      <c r="N27" s="63"/>
      <c r="O27" s="63"/>
      <c r="P27" s="63"/>
      <c r="Q27" s="63"/>
      <c r="R27" s="63"/>
      <c r="S27" s="251"/>
      <c r="T27" s="247">
        <f t="shared" si="1"/>
        <v>0</v>
      </c>
      <c r="U27" s="93">
        <f t="shared" si="0"/>
        <v>0</v>
      </c>
      <c r="V27" s="332" t="s">
        <v>170</v>
      </c>
      <c r="W27" s="354"/>
    </row>
    <row r="28" spans="1:23" ht="15.75" x14ac:dyDescent="0.25">
      <c r="A28" s="96"/>
      <c r="B28" s="97"/>
      <c r="C28" s="97"/>
      <c r="D28" s="97"/>
      <c r="E28" s="104"/>
      <c r="F28" s="104"/>
      <c r="G28" s="98"/>
      <c r="H28" s="99"/>
      <c r="I28" s="214">
        <v>12</v>
      </c>
      <c r="J28" s="63"/>
      <c r="K28" s="63"/>
      <c r="L28" s="63"/>
      <c r="M28" s="63"/>
      <c r="N28" s="63"/>
      <c r="O28" s="63"/>
      <c r="P28" s="63"/>
      <c r="Q28" s="63"/>
      <c r="R28" s="63"/>
      <c r="S28" s="251"/>
      <c r="T28" s="247">
        <f t="shared" si="1"/>
        <v>0</v>
      </c>
      <c r="U28" s="93">
        <f t="shared" si="0"/>
        <v>0</v>
      </c>
      <c r="V28" s="203" t="s">
        <v>12</v>
      </c>
      <c r="W28" s="326"/>
    </row>
    <row r="29" spans="1:23" ht="15.75" x14ac:dyDescent="0.25">
      <c r="A29" s="96"/>
      <c r="B29" s="97"/>
      <c r="C29" s="97"/>
      <c r="D29" s="97"/>
      <c r="E29" s="104"/>
      <c r="F29" s="104"/>
      <c r="G29" s="98"/>
      <c r="H29" s="99"/>
      <c r="I29" s="63">
        <v>5</v>
      </c>
      <c r="J29" s="63"/>
      <c r="K29" s="63"/>
      <c r="L29" s="63"/>
      <c r="M29" s="63"/>
      <c r="N29" s="63"/>
      <c r="O29" s="63"/>
      <c r="P29" s="63"/>
      <c r="Q29" s="63"/>
      <c r="R29" s="63"/>
      <c r="S29" s="251"/>
      <c r="T29" s="247">
        <f t="shared" si="1"/>
        <v>0</v>
      </c>
      <c r="U29" s="93">
        <f t="shared" si="0"/>
        <v>0</v>
      </c>
      <c r="V29" s="204" t="s">
        <v>164</v>
      </c>
      <c r="W29" s="354"/>
    </row>
    <row r="30" spans="1:23" ht="15.75" x14ac:dyDescent="0.25">
      <c r="A30" s="96"/>
      <c r="B30" s="97"/>
      <c r="C30" s="97"/>
      <c r="D30" s="97"/>
      <c r="E30" s="104"/>
      <c r="F30" s="104"/>
      <c r="G30" s="98"/>
      <c r="H30" s="99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251"/>
      <c r="T30" s="247">
        <f t="shared" si="1"/>
        <v>0</v>
      </c>
      <c r="U30" s="93">
        <f t="shared" si="0"/>
        <v>0</v>
      </c>
      <c r="V30" s="204" t="s">
        <v>92</v>
      </c>
      <c r="W30" s="326"/>
    </row>
    <row r="31" spans="1:23" ht="16.5" thickBot="1" x14ac:dyDescent="0.3">
      <c r="A31" s="96"/>
      <c r="B31" s="97"/>
      <c r="C31" s="97"/>
      <c r="D31" s="97"/>
      <c r="E31" s="104"/>
      <c r="F31" s="104"/>
      <c r="G31" s="98"/>
      <c r="H31" s="107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254"/>
      <c r="T31" s="248">
        <f t="shared" si="1"/>
        <v>0</v>
      </c>
      <c r="U31" s="299">
        <f t="shared" si="0"/>
        <v>0</v>
      </c>
      <c r="V31" s="357" t="s">
        <v>9</v>
      </c>
      <c r="W31" s="326"/>
    </row>
    <row r="32" spans="1:23" ht="16.5" thickBot="1" x14ac:dyDescent="0.3">
      <c r="A32" s="96"/>
      <c r="B32" s="97"/>
      <c r="C32" s="97"/>
      <c r="D32" s="97"/>
      <c r="E32" s="104"/>
      <c r="F32" s="104"/>
      <c r="G32" s="98"/>
      <c r="H32" s="82"/>
      <c r="I32" s="83"/>
      <c r="J32" s="240"/>
      <c r="K32" s="83"/>
      <c r="L32" s="83"/>
      <c r="M32" s="83"/>
      <c r="N32" s="83"/>
      <c r="O32" s="83"/>
      <c r="P32" s="83"/>
      <c r="Q32" s="83"/>
      <c r="R32" s="83"/>
      <c r="S32" s="83"/>
      <c r="T32" s="246"/>
      <c r="U32" s="246"/>
      <c r="V32" s="208" t="s">
        <v>153</v>
      </c>
      <c r="W32" s="354"/>
    </row>
    <row r="33" spans="1:23" ht="15.75" x14ac:dyDescent="0.25">
      <c r="A33" s="96"/>
      <c r="B33" s="97"/>
      <c r="C33" s="97"/>
      <c r="D33" s="97"/>
      <c r="E33" s="104"/>
      <c r="F33" s="104"/>
      <c r="G33" s="109"/>
      <c r="H33" s="90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250"/>
      <c r="T33" s="249">
        <f t="shared" ref="T33:T34" si="2">SUM(H33,J33,L33,N33,P33,R33,S33)</f>
        <v>0</v>
      </c>
      <c r="U33" s="183">
        <f t="shared" si="0"/>
        <v>0</v>
      </c>
      <c r="V33" s="202" t="s">
        <v>89</v>
      </c>
      <c r="W33" s="354"/>
    </row>
    <row r="34" spans="1:23" ht="15.75" x14ac:dyDescent="0.25">
      <c r="A34" s="96"/>
      <c r="B34" s="97"/>
      <c r="C34" s="97"/>
      <c r="D34" s="97"/>
      <c r="E34" s="104"/>
      <c r="F34" s="104"/>
      <c r="G34" s="109"/>
      <c r="H34" s="99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251"/>
      <c r="T34" s="247">
        <f t="shared" si="2"/>
        <v>0</v>
      </c>
      <c r="U34" s="183">
        <f t="shared" si="0"/>
        <v>0</v>
      </c>
      <c r="V34" s="203" t="s">
        <v>83</v>
      </c>
      <c r="W34" s="354"/>
    </row>
    <row r="35" spans="1:23" x14ac:dyDescent="0.25">
      <c r="A35" s="96"/>
      <c r="B35" s="97"/>
      <c r="C35" s="97"/>
      <c r="D35" s="97"/>
      <c r="E35" s="104"/>
      <c r="F35" s="104"/>
      <c r="G35" s="109"/>
      <c r="H35" s="99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251"/>
      <c r="T35" s="247">
        <v>0</v>
      </c>
      <c r="U35" s="183">
        <f t="shared" si="0"/>
        <v>0</v>
      </c>
      <c r="V35" s="355" t="s">
        <v>167</v>
      </c>
      <c r="W35" s="326"/>
    </row>
    <row r="36" spans="1:23" ht="15.75" x14ac:dyDescent="0.25">
      <c r="A36" s="96"/>
      <c r="B36" s="97"/>
      <c r="C36" s="97"/>
      <c r="D36" s="97"/>
      <c r="E36" s="104"/>
      <c r="F36" s="104"/>
      <c r="G36" s="109"/>
      <c r="H36" s="99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251"/>
      <c r="T36" s="247">
        <f t="shared" ref="T36:T41" si="3">SUM(H36,J36,L36,N36,P36,R36,S36)</f>
        <v>0</v>
      </c>
      <c r="U36" s="183">
        <f t="shared" si="0"/>
        <v>0</v>
      </c>
      <c r="V36" s="203" t="s">
        <v>71</v>
      </c>
      <c r="W36" s="326"/>
    </row>
    <row r="37" spans="1:23" ht="15.75" x14ac:dyDescent="0.25">
      <c r="A37" s="96"/>
      <c r="B37" s="97"/>
      <c r="C37" s="97"/>
      <c r="D37" s="97"/>
      <c r="E37" s="104"/>
      <c r="F37" s="104"/>
      <c r="G37" s="109"/>
      <c r="H37" s="99">
        <v>1</v>
      </c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251"/>
      <c r="T37" s="247">
        <f t="shared" si="3"/>
        <v>1</v>
      </c>
      <c r="U37" s="183">
        <f t="shared" si="0"/>
        <v>7.2098053352559477E-4</v>
      </c>
      <c r="V37" s="204" t="s">
        <v>15</v>
      </c>
      <c r="W37" s="326"/>
    </row>
    <row r="38" spans="1:23" ht="15.75" x14ac:dyDescent="0.25">
      <c r="A38" s="96"/>
      <c r="B38" s="97"/>
      <c r="C38" s="97"/>
      <c r="D38" s="97"/>
      <c r="E38" s="104"/>
      <c r="F38" s="104"/>
      <c r="G38" s="109"/>
      <c r="H38" s="99">
        <v>6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251"/>
      <c r="T38" s="247">
        <f t="shared" si="3"/>
        <v>6</v>
      </c>
      <c r="U38" s="183">
        <f t="shared" si="0"/>
        <v>4.3258832011535686E-3</v>
      </c>
      <c r="V38" s="204" t="s">
        <v>26</v>
      </c>
      <c r="W38" s="326"/>
    </row>
    <row r="39" spans="1:23" ht="15.75" x14ac:dyDescent="0.25">
      <c r="A39" s="96"/>
      <c r="B39" s="97"/>
      <c r="C39" s="97"/>
      <c r="D39" s="97"/>
      <c r="E39" s="104"/>
      <c r="F39" s="104"/>
      <c r="G39" s="109"/>
      <c r="H39" s="107">
        <v>5</v>
      </c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254"/>
      <c r="T39" s="247">
        <f t="shared" si="3"/>
        <v>5</v>
      </c>
      <c r="U39" s="183">
        <f t="shared" si="0"/>
        <v>3.6049026676279738E-3</v>
      </c>
      <c r="V39" s="207" t="s">
        <v>12</v>
      </c>
      <c r="W39" s="356"/>
    </row>
    <row r="40" spans="1:23" ht="15.75" x14ac:dyDescent="0.25">
      <c r="A40" s="96"/>
      <c r="B40" s="97"/>
      <c r="C40" s="97"/>
      <c r="D40" s="97"/>
      <c r="E40" s="104"/>
      <c r="F40" s="104"/>
      <c r="G40" s="109"/>
      <c r="H40" s="107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254"/>
      <c r="T40" s="247">
        <f t="shared" si="3"/>
        <v>0</v>
      </c>
      <c r="U40" s="183">
        <f t="shared" si="0"/>
        <v>0</v>
      </c>
      <c r="V40" s="203" t="s">
        <v>11</v>
      </c>
      <c r="W40" s="326"/>
    </row>
    <row r="41" spans="1:23" ht="16.5" thickBot="1" x14ac:dyDescent="0.3">
      <c r="A41" s="117"/>
      <c r="B41" s="118"/>
      <c r="C41" s="118"/>
      <c r="D41" s="118"/>
      <c r="E41" s="119"/>
      <c r="F41" s="119"/>
      <c r="G41" s="120"/>
      <c r="H41" s="107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254"/>
      <c r="T41" s="247">
        <f t="shared" si="3"/>
        <v>0</v>
      </c>
      <c r="U41" s="299">
        <f t="shared" si="0"/>
        <v>0</v>
      </c>
      <c r="V41" s="205" t="s">
        <v>148</v>
      </c>
      <c r="W41" s="352"/>
    </row>
    <row r="42" spans="1:23" ht="15.75" thickBot="1" x14ac:dyDescent="0.3">
      <c r="A42" s="122"/>
      <c r="B42" s="122"/>
      <c r="C42" s="122"/>
      <c r="D42" s="122"/>
      <c r="E42" s="122"/>
      <c r="F42" s="122"/>
      <c r="G42" s="47" t="s">
        <v>4</v>
      </c>
      <c r="H42" s="123">
        <f t="shared" ref="H42:S42" si="4">SUM(H3:H41)</f>
        <v>235</v>
      </c>
      <c r="I42" s="123">
        <f t="shared" si="4"/>
        <v>22</v>
      </c>
      <c r="J42" s="123">
        <f t="shared" si="4"/>
        <v>14</v>
      </c>
      <c r="K42" s="123">
        <f t="shared" si="4"/>
        <v>0</v>
      </c>
      <c r="L42" s="123">
        <f t="shared" si="4"/>
        <v>0</v>
      </c>
      <c r="M42" s="123">
        <f t="shared" si="4"/>
        <v>0</v>
      </c>
      <c r="N42" s="123">
        <f t="shared" si="4"/>
        <v>0</v>
      </c>
      <c r="O42" s="123">
        <f t="shared" si="4"/>
        <v>0</v>
      </c>
      <c r="P42" s="123">
        <f t="shared" si="4"/>
        <v>0</v>
      </c>
      <c r="Q42" s="123">
        <f t="shared" si="4"/>
        <v>0</v>
      </c>
      <c r="R42" s="123">
        <f t="shared" si="4"/>
        <v>0</v>
      </c>
      <c r="S42" s="123">
        <f t="shared" si="4"/>
        <v>20</v>
      </c>
      <c r="T42" s="198">
        <f>SUM(H42,J42,L42,N42,P42,R42,S42)</f>
        <v>269</v>
      </c>
      <c r="U42" s="333">
        <f t="shared" si="0"/>
        <v>0.19394376351838499</v>
      </c>
      <c r="V42" s="40"/>
    </row>
  </sheetData>
  <conditionalFormatting sqref="U43">
    <cfRule type="cellIs" dxfId="214" priority="11" operator="greaterThan">
      <formula>0.2</formula>
    </cfRule>
  </conditionalFormatting>
  <conditionalFormatting sqref="U3:U31">
    <cfRule type="colorScale" priority="5">
      <colorScale>
        <cfvo type="min"/>
        <cfvo type="max"/>
        <color rgb="FFFCFCFF"/>
        <color rgb="FFF8696B"/>
      </colorScale>
    </cfRule>
  </conditionalFormatting>
  <conditionalFormatting sqref="U3:U31">
    <cfRule type="cellIs" dxfId="213" priority="4" operator="greaterThan">
      <formula>0.2</formula>
    </cfRule>
  </conditionalFormatting>
  <conditionalFormatting sqref="U1:U2">
    <cfRule type="cellIs" dxfId="212" priority="3" operator="greaterThan">
      <formula>0.2</formula>
    </cfRule>
  </conditionalFormatting>
  <conditionalFormatting sqref="U33:U42">
    <cfRule type="cellIs" dxfId="211" priority="1" operator="greaterThan">
      <formula>0.2</formula>
    </cfRule>
  </conditionalFormatting>
  <conditionalFormatting sqref="U33:U42">
    <cfRule type="colorScale" priority="2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3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33"/>
  <sheetViews>
    <sheetView showGridLines="0" zoomScaleNormal="100" workbookViewId="0">
      <selection activeCell="O18" sqref="O18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30" style="23" bestFit="1" customWidth="1"/>
    <col min="16" max="16" width="10.7109375" style="23" customWidth="1"/>
    <col min="17" max="17" width="10.85546875" style="23" customWidth="1"/>
    <col min="18" max="18" width="9.85546875" style="23" customWidth="1"/>
    <col min="19" max="16384" width="9.140625" style="23"/>
  </cols>
  <sheetData>
    <row r="1" spans="1:21" ht="54" customHeight="1" x14ac:dyDescent="0.25">
      <c r="A1" s="558" t="s">
        <v>106</v>
      </c>
      <c r="B1" s="558"/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  <c r="R1" s="558"/>
    </row>
    <row r="3" spans="1:21" ht="26.25" customHeight="1" x14ac:dyDescent="0.25">
      <c r="H3" s="23">
        <f ca="1">H3:H38</f>
        <v>0</v>
      </c>
      <c r="O3" s="559" t="s">
        <v>50</v>
      </c>
      <c r="P3" s="560"/>
      <c r="Q3" s="560"/>
      <c r="R3" s="560"/>
    </row>
    <row r="4" spans="1:21" x14ac:dyDescent="0.25">
      <c r="O4" s="561" t="s">
        <v>20</v>
      </c>
      <c r="P4" s="562"/>
      <c r="Q4" s="563"/>
      <c r="R4" s="257" t="s">
        <v>24</v>
      </c>
    </row>
    <row r="5" spans="1:21" x14ac:dyDescent="0.25">
      <c r="O5" s="20" t="s">
        <v>5</v>
      </c>
      <c r="P5" s="20"/>
      <c r="Q5" s="21"/>
      <c r="R5" s="18">
        <f>SUMIF('EB211'!$V$3:$V$41,O5,'EB211'!$T$3:$T$41)</f>
        <v>108</v>
      </c>
    </row>
    <row r="6" spans="1:21" x14ac:dyDescent="0.25">
      <c r="O6" s="20" t="s">
        <v>13</v>
      </c>
      <c r="P6" s="20"/>
      <c r="Q6" s="21"/>
      <c r="R6" s="18">
        <f>SUMIF('EB211'!$V$3:$V$41,O6,'EB211'!$T$3:$T$41)</f>
        <v>83</v>
      </c>
    </row>
    <row r="7" spans="1:21" x14ac:dyDescent="0.25">
      <c r="O7" s="20" t="s">
        <v>33</v>
      </c>
      <c r="P7" s="20"/>
      <c r="Q7" s="21"/>
      <c r="R7" s="18">
        <f>SUMIF('EB211'!$V$3:$V$41,O7,'EB211'!$T$3:$T$41)</f>
        <v>24</v>
      </c>
    </row>
    <row r="8" spans="1:21" x14ac:dyDescent="0.25">
      <c r="O8" s="20" t="s">
        <v>14</v>
      </c>
      <c r="P8" s="20"/>
      <c r="Q8" s="21"/>
      <c r="R8" s="18">
        <f>SUMIF('EB211'!$V$3:$V$41,O8,'EB211'!$T$3:$T$41)</f>
        <v>10</v>
      </c>
    </row>
    <row r="9" spans="1:21" x14ac:dyDescent="0.25">
      <c r="O9" s="20" t="s">
        <v>15</v>
      </c>
      <c r="P9" s="20"/>
      <c r="Q9" s="21"/>
      <c r="R9" s="18">
        <f>SUMIF('EB211'!$V$3:$V$41,O9,'EB211'!$T$3:$T$41)</f>
        <v>8</v>
      </c>
    </row>
    <row r="10" spans="1:21" ht="15.75" x14ac:dyDescent="0.25">
      <c r="O10" s="20" t="s">
        <v>26</v>
      </c>
      <c r="P10" s="20"/>
      <c r="Q10" s="21"/>
      <c r="R10" s="18">
        <f>SUMIF('EB211'!$V$3:$V$41,O10,'EB211'!$T$3:$T$41)</f>
        <v>8</v>
      </c>
      <c r="U10" s="125"/>
    </row>
    <row r="11" spans="1:21" x14ac:dyDescent="0.25">
      <c r="O11" s="20" t="s">
        <v>12</v>
      </c>
      <c r="P11" s="20"/>
      <c r="Q11" s="21"/>
      <c r="R11" s="18">
        <f>SUMIF('EB211'!$V$3:$V$41,O11,'EB211'!$T$3:$T$41)</f>
        <v>5</v>
      </c>
    </row>
    <row r="12" spans="1:21" x14ac:dyDescent="0.25">
      <c r="O12" s="20" t="s">
        <v>11</v>
      </c>
      <c r="P12" s="20"/>
      <c r="Q12" s="21"/>
      <c r="R12" s="18">
        <f>SUMIF('EB211'!$V$3:$V$41,O12,'EB211'!$T$3:$T$41)</f>
        <v>4</v>
      </c>
    </row>
    <row r="13" spans="1:21" x14ac:dyDescent="0.25">
      <c r="O13" s="20" t="s">
        <v>27</v>
      </c>
      <c r="P13" s="20"/>
      <c r="Q13" s="21"/>
      <c r="R13" s="18">
        <f>SUMIF('EB211'!$V$3:$V$41,O13,'EB211'!$T$3:$T$41)</f>
        <v>4</v>
      </c>
    </row>
    <row r="14" spans="1:21" x14ac:dyDescent="0.25">
      <c r="O14" s="20" t="s">
        <v>31</v>
      </c>
      <c r="P14" s="20"/>
      <c r="Q14" s="21"/>
      <c r="R14" s="18">
        <f>SUMIF('EB211'!$V$3:$V$41,O14,'EB211'!$T$3:$T$41)</f>
        <v>4</v>
      </c>
    </row>
    <row r="15" spans="1:21" x14ac:dyDescent="0.25">
      <c r="O15" s="20" t="s">
        <v>30</v>
      </c>
      <c r="P15" s="20"/>
      <c r="Q15" s="21"/>
      <c r="R15" s="18">
        <f>SUMIF('EB211'!$V$3:$V$41,O15,'EB211'!$T$3:$T$41)</f>
        <v>3</v>
      </c>
    </row>
    <row r="16" spans="1:21" x14ac:dyDescent="0.25">
      <c r="O16" s="20" t="s">
        <v>3</v>
      </c>
      <c r="P16" s="20"/>
      <c r="Q16" s="21"/>
      <c r="R16" s="18">
        <f>SUMIF('EB211'!$V$3:$V$41,O16,'EB211'!$T$3:$T$41)</f>
        <v>3</v>
      </c>
    </row>
    <row r="17" spans="1:18" x14ac:dyDescent="0.25">
      <c r="O17" s="20" t="s">
        <v>19</v>
      </c>
      <c r="P17" s="20"/>
      <c r="Q17" s="21"/>
      <c r="R17" s="18">
        <f>SUMIF('EB211'!$V$3:$V$41,O17,'EB211'!$T$3:$T$41)</f>
        <v>2</v>
      </c>
    </row>
    <row r="18" spans="1:18" x14ac:dyDescent="0.25">
      <c r="O18" s="20" t="s">
        <v>8</v>
      </c>
      <c r="P18" s="20"/>
      <c r="Q18" s="21"/>
      <c r="R18" s="18">
        <f>SUMIF('EB211'!$V$3:$V$41,O18,'EB211'!$T$3:$T$41)</f>
        <v>2</v>
      </c>
    </row>
    <row r="19" spans="1:18" x14ac:dyDescent="0.25">
      <c r="O19" s="20" t="s">
        <v>0</v>
      </c>
      <c r="P19" s="20"/>
      <c r="Q19" s="21"/>
      <c r="R19" s="18">
        <f>SUMIF('EB211'!$V$3:$V$41,O19,'EB211'!$T$3:$T$41)</f>
        <v>1</v>
      </c>
    </row>
    <row r="20" spans="1:18" ht="15.75" customHeight="1" x14ac:dyDescent="0.25">
      <c r="O20" s="20" t="s">
        <v>44</v>
      </c>
      <c r="P20" s="20"/>
      <c r="Q20" s="21"/>
      <c r="R20" s="18">
        <f>SUMIF('EB211'!$V$3:$V$41,O20,'EB211'!$T$3:$T$41)</f>
        <v>0</v>
      </c>
    </row>
    <row r="21" spans="1:18" ht="23.25" x14ac:dyDescent="0.25">
      <c r="A21" s="127"/>
      <c r="B21" s="128" t="s">
        <v>62</v>
      </c>
      <c r="C21" s="128"/>
      <c r="D21" s="128"/>
      <c r="E21" s="129"/>
      <c r="O21" s="20" t="s">
        <v>77</v>
      </c>
      <c r="P21" s="20"/>
      <c r="Q21" s="21"/>
      <c r="R21" s="18">
        <f>SUMIF('EB211'!$V$3:$V$41,O21,'EB211'!$T$3:$T$41)</f>
        <v>0</v>
      </c>
    </row>
    <row r="22" spans="1:18" ht="19.5" customHeight="1" x14ac:dyDescent="0.25">
      <c r="A22" s="133" t="s">
        <v>22</v>
      </c>
      <c r="B22" s="134" t="s">
        <v>17</v>
      </c>
      <c r="C22" s="134" t="s">
        <v>16</v>
      </c>
      <c r="D22" s="134" t="s">
        <v>1</v>
      </c>
      <c r="E22" s="135" t="s">
        <v>23</v>
      </c>
      <c r="O22" s="20" t="s">
        <v>7</v>
      </c>
      <c r="P22" s="20"/>
      <c r="Q22" s="21"/>
      <c r="R22" s="18">
        <f>SUMIF('EB211'!$V$3:$V$41,O22,'EB211'!$T$3:$T$41)</f>
        <v>0</v>
      </c>
    </row>
    <row r="23" spans="1:18" x14ac:dyDescent="0.25">
      <c r="A23" s="312">
        <v>1513568</v>
      </c>
      <c r="B23" s="313">
        <f>VLOOKUP(Table1486[[#This Row],[Shop Order]],'EB211'!A:AA,4,FALSE)</f>
        <v>1387</v>
      </c>
      <c r="C23" s="313">
        <f>VLOOKUP(Table1486[[#This Row],[Shop Order]],'EB211'!A:AA,5,FALSE)</f>
        <v>1118</v>
      </c>
      <c r="D23" s="314">
        <f>VLOOKUP(Table1486[[#This Row],[Shop Order]],'EB211'!A:AA,6,FALSE)</f>
        <v>0.80605623648161495</v>
      </c>
      <c r="E23" s="315">
        <f>VLOOKUP(Table1486[[#This Row],[Shop Order]],'EB211'!A:AA,7,FALSE)</f>
        <v>45302</v>
      </c>
      <c r="O23" s="20" t="s">
        <v>29</v>
      </c>
      <c r="P23" s="20"/>
      <c r="Q23" s="21"/>
      <c r="R23" s="18">
        <f>SUMIF('EB211'!$V$3:$V$41,O23,'EB211'!$T$3:$T$41)</f>
        <v>0</v>
      </c>
    </row>
    <row r="24" spans="1:18" x14ac:dyDescent="0.25">
      <c r="A24" s="312"/>
      <c r="B24" s="313" t="e">
        <f>VLOOKUP(Table1486[[#This Row],[Shop Order]],'EB211'!A:AA,4,FALSE)</f>
        <v>#N/A</v>
      </c>
      <c r="C24" s="313" t="e">
        <f>VLOOKUP(Table1486[[#This Row],[Shop Order]],'EB211'!A:AA,5,FALSE)</f>
        <v>#N/A</v>
      </c>
      <c r="D24" s="314" t="e">
        <f>VLOOKUP(Table1486[[#This Row],[Shop Order]],'EB211'!A:AA,6,FALSE)</f>
        <v>#N/A</v>
      </c>
      <c r="E24" s="315" t="e">
        <f>VLOOKUP(Table1486[[#This Row],[Shop Order]],'EB211'!A:AA,7,FALSE)</f>
        <v>#N/A</v>
      </c>
      <c r="G24" s="24"/>
      <c r="O24" s="20" t="s">
        <v>10</v>
      </c>
      <c r="P24" s="20"/>
      <c r="Q24" s="21"/>
      <c r="R24" s="18">
        <f>SUMIF('EB211'!$V$3:$V$41,O24,'EB211'!$T$3:$T$41)</f>
        <v>0</v>
      </c>
    </row>
    <row r="25" spans="1:18" x14ac:dyDescent="0.25">
      <c r="A25" s="312"/>
      <c r="B25" s="313" t="e">
        <f>VLOOKUP(Table1486[[#This Row],[Shop Order]],'EB211'!A:AA,4,FALSE)</f>
        <v>#N/A</v>
      </c>
      <c r="C25" s="313" t="e">
        <f>VLOOKUP(Table1486[[#This Row],[Shop Order]],'EB211'!A:AA,5,FALSE)</f>
        <v>#N/A</v>
      </c>
      <c r="D25" s="314" t="e">
        <f>VLOOKUP(Table1486[[#This Row],[Shop Order]],'EB211'!A:AA,6,FALSE)</f>
        <v>#N/A</v>
      </c>
      <c r="E25" s="315" t="e">
        <f>VLOOKUP(Table1486[[#This Row],[Shop Order]],'EB211'!A:AA,7,FALSE)</f>
        <v>#N/A</v>
      </c>
      <c r="O25" s="20" t="s">
        <v>78</v>
      </c>
      <c r="P25" s="20"/>
      <c r="Q25" s="21"/>
      <c r="R25" s="18">
        <f>SUMIF('EB211'!$V$3:$V$41,O25,'EB211'!$T$3:$T$41)</f>
        <v>0</v>
      </c>
    </row>
    <row r="26" spans="1:18" x14ac:dyDescent="0.25">
      <c r="A26" s="312"/>
      <c r="B26" s="313" t="e">
        <f>VLOOKUP(Table1486[[#This Row],[Shop Order]],'EB211'!A:AA,4,FALSE)</f>
        <v>#N/A</v>
      </c>
      <c r="C26" s="313" t="e">
        <f>VLOOKUP(Table1486[[#This Row],[Shop Order]],'EB211'!A:AA,5,FALSE)</f>
        <v>#N/A</v>
      </c>
      <c r="D26" s="314" t="e">
        <f>VLOOKUP(Table1486[[#This Row],[Shop Order]],'EB211'!A:AA,6,FALSE)</f>
        <v>#N/A</v>
      </c>
      <c r="E26" s="315" t="e">
        <f>VLOOKUP(Table1486[[#This Row],[Shop Order]],'EB211'!A:AA,7,FALSE)</f>
        <v>#N/A</v>
      </c>
      <c r="O26" s="20" t="s">
        <v>43</v>
      </c>
      <c r="P26" s="20"/>
      <c r="Q26" s="21"/>
      <c r="R26" s="18">
        <f>SUMIF('EB211'!$V$3:$V$41,O26,'EB211'!$T$3:$T$41)</f>
        <v>0</v>
      </c>
    </row>
    <row r="27" spans="1:18" x14ac:dyDescent="0.25">
      <c r="A27" s="312"/>
      <c r="B27" s="313" t="e">
        <f>VLOOKUP(Table1486[[#This Row],[Shop Order]],'EB211'!A:AA,4,FALSE)</f>
        <v>#N/A</v>
      </c>
      <c r="C27" s="313" t="e">
        <f>VLOOKUP(Table1486[[#This Row],[Shop Order]],'EB211'!A:AA,5,FALSE)</f>
        <v>#N/A</v>
      </c>
      <c r="D27" s="314" t="e">
        <f>VLOOKUP(Table1486[[#This Row],[Shop Order]],'EB211'!A:AA,6,FALSE)</f>
        <v>#N/A</v>
      </c>
      <c r="E27" s="315" t="e">
        <f>VLOOKUP(Table1486[[#This Row],[Shop Order]],'EB211'!A:AA,7,FALSE)</f>
        <v>#N/A</v>
      </c>
      <c r="O27" s="20" t="s">
        <v>114</v>
      </c>
      <c r="P27" s="20"/>
      <c r="Q27" s="21"/>
      <c r="R27" s="18">
        <f>SUMIF('EB211'!$V$3:$V$41,O27,'EB211'!$T$3:$T$41)</f>
        <v>0</v>
      </c>
    </row>
    <row r="28" spans="1:18" x14ac:dyDescent="0.25">
      <c r="A28" s="312"/>
      <c r="B28" s="313" t="e">
        <f>VLOOKUP(Table1486[[#This Row],[Shop Order]],'EB211'!A:AA,4,FALSE)</f>
        <v>#N/A</v>
      </c>
      <c r="C28" s="313" t="e">
        <f>VLOOKUP(Table1486[[#This Row],[Shop Order]],'EB211'!A:AA,5,FALSE)</f>
        <v>#N/A</v>
      </c>
      <c r="D28" s="314" t="e">
        <f>VLOOKUP(Table1486[[#This Row],[Shop Order]],'EB211'!A:AA,6,FALSE)</f>
        <v>#N/A</v>
      </c>
      <c r="E28" s="315" t="e">
        <f>VLOOKUP(Table1486[[#This Row],[Shop Order]],'EB211'!A:AA,7,FALSE)</f>
        <v>#N/A</v>
      </c>
      <c r="O28" s="20" t="s">
        <v>79</v>
      </c>
      <c r="P28" s="20"/>
      <c r="Q28" s="21"/>
      <c r="R28" s="18">
        <f>SUMIF('EB211'!$V$3:$V$41,O28,'EB211'!$T$3:$T$41)</f>
        <v>0</v>
      </c>
    </row>
    <row r="29" spans="1:18" ht="15" customHeight="1" x14ac:dyDescent="0.25">
      <c r="A29" s="570" t="s">
        <v>49</v>
      </c>
      <c r="B29" s="570"/>
      <c r="C29" s="570"/>
      <c r="D29" s="440">
        <f>AVERAGE(D23)</f>
        <v>0.80605623648161495</v>
      </c>
      <c r="E29" s="136"/>
      <c r="O29" s="20" t="s">
        <v>95</v>
      </c>
      <c r="P29" s="31"/>
      <c r="Q29" s="31"/>
      <c r="R29" s="18">
        <f>SUMIF('EB211'!$V$3:$V$41,O29,'EB211'!$T$3:$T$41)</f>
        <v>0</v>
      </c>
    </row>
    <row r="31" spans="1:18" ht="30.75" customHeight="1" x14ac:dyDescent="0.25">
      <c r="E31" s="23"/>
    </row>
    <row r="32" spans="1:18" ht="38.25" customHeight="1" x14ac:dyDescent="0.25">
      <c r="E32" s="23"/>
    </row>
    <row r="33" spans="5:5" ht="33.75" customHeight="1" x14ac:dyDescent="0.25">
      <c r="E33" s="23"/>
    </row>
  </sheetData>
  <autoFilter ref="O4:R4" xr:uid="{00000000-0009-0000-0000-000003000000}">
    <filterColumn colId="0" showButton="0"/>
    <filterColumn colId="1" showButton="0"/>
    <sortState xmlns:xlrd2="http://schemas.microsoft.com/office/spreadsheetml/2017/richdata2" ref="O5:R29">
      <sortCondition descending="1" ref="R4"/>
    </sortState>
  </autoFilter>
  <dataConsolidate/>
  <mergeCells count="4">
    <mergeCell ref="A1:R1"/>
    <mergeCell ref="O3:R3"/>
    <mergeCell ref="O4:Q4"/>
    <mergeCell ref="A29:C29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A1:Z39"/>
  <sheetViews>
    <sheetView zoomScale="65" zoomScaleNormal="65" workbookViewId="0">
      <selection activeCell="O29" sqref="O29"/>
    </sheetView>
  </sheetViews>
  <sheetFormatPr defaultColWidth="9.140625" defaultRowHeight="15" x14ac:dyDescent="0.25"/>
  <cols>
    <col min="1" max="1" width="13.140625" style="41" customWidth="1"/>
    <col min="2" max="2" width="10.7109375" style="41" customWidth="1"/>
    <col min="3" max="5" width="8.7109375" style="41" customWidth="1"/>
    <col min="6" max="6" width="10.7109375" style="41" customWidth="1"/>
    <col min="7" max="7" width="12.85546875" style="13" bestFit="1" customWidth="1"/>
    <col min="8" max="11" width="15.85546875" style="7" customWidth="1"/>
    <col min="12" max="12" width="15.85546875" style="8" customWidth="1"/>
    <col min="13" max="13" width="15.85546875" style="9" customWidth="1"/>
    <col min="14" max="15" width="15.85546875" style="41" customWidth="1"/>
    <col min="16" max="16" width="15.85546875" style="10" customWidth="1"/>
    <col min="17" max="20" width="15.85546875" style="12" customWidth="1"/>
    <col min="21" max="21" width="9.140625" style="12"/>
    <col min="22" max="22" width="11.140625" style="12" bestFit="1" customWidth="1"/>
    <col min="23" max="23" width="10.28515625" style="12" customWidth="1"/>
    <col min="24" max="24" width="40.7109375" style="41" customWidth="1"/>
    <col min="25" max="25" width="18" style="41" hidden="1" customWidth="1"/>
    <col min="26" max="26" width="44.42578125" style="41" customWidth="1"/>
    <col min="27" max="16384" width="9.140625" style="41"/>
  </cols>
  <sheetData>
    <row r="1" spans="1:26" ht="75.75" thickBot="1" x14ac:dyDescent="0.3">
      <c r="A1" s="43" t="s">
        <v>22</v>
      </c>
      <c r="B1" s="43" t="s">
        <v>47</v>
      </c>
      <c r="C1" s="43" t="s">
        <v>52</v>
      </c>
      <c r="D1" s="43" t="s">
        <v>17</v>
      </c>
      <c r="E1" s="42" t="s">
        <v>16</v>
      </c>
      <c r="F1" s="44" t="s">
        <v>1</v>
      </c>
      <c r="G1" s="45" t="s">
        <v>23</v>
      </c>
      <c r="H1" s="46" t="s">
        <v>72</v>
      </c>
      <c r="I1" s="46" t="s">
        <v>73</v>
      </c>
      <c r="J1" s="46" t="s">
        <v>53</v>
      </c>
      <c r="K1" s="46" t="s">
        <v>58</v>
      </c>
      <c r="L1" s="46" t="s">
        <v>54</v>
      </c>
      <c r="M1" s="46" t="s">
        <v>59</v>
      </c>
      <c r="N1" s="46" t="s">
        <v>55</v>
      </c>
      <c r="O1" s="46" t="s">
        <v>60</v>
      </c>
      <c r="P1" s="46" t="s">
        <v>56</v>
      </c>
      <c r="Q1" s="46" t="s">
        <v>74</v>
      </c>
      <c r="R1" s="46" t="s">
        <v>57</v>
      </c>
      <c r="S1" s="46" t="s">
        <v>115</v>
      </c>
      <c r="T1" s="43" t="s">
        <v>41</v>
      </c>
      <c r="U1" s="43" t="s">
        <v>4</v>
      </c>
      <c r="V1" s="42" t="s">
        <v>2</v>
      </c>
      <c r="W1" s="79" t="s">
        <v>150</v>
      </c>
      <c r="X1" s="80" t="s">
        <v>20</v>
      </c>
      <c r="Y1" s="179" t="s">
        <v>4</v>
      </c>
      <c r="Z1" s="182" t="s">
        <v>6</v>
      </c>
    </row>
    <row r="2" spans="1:26" ht="15.75" thickBot="1" x14ac:dyDescent="0.3">
      <c r="A2" s="181">
        <v>1514184</v>
      </c>
      <c r="B2" s="181" t="s">
        <v>384</v>
      </c>
      <c r="C2" s="319">
        <v>1152</v>
      </c>
      <c r="D2" s="319">
        <v>1203</v>
      </c>
      <c r="E2" s="324">
        <v>1128</v>
      </c>
      <c r="F2" s="318">
        <f>E2/D2</f>
        <v>0.93765586034912718</v>
      </c>
      <c r="G2" s="180">
        <v>45358</v>
      </c>
      <c r="H2" s="169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/>
      <c r="U2" s="296"/>
      <c r="V2" s="166"/>
      <c r="W2" s="166"/>
      <c r="X2" s="86" t="s">
        <v>75</v>
      </c>
      <c r="Y2" s="179" t="s">
        <v>4</v>
      </c>
      <c r="Z2" s="77" t="s">
        <v>70</v>
      </c>
    </row>
    <row r="3" spans="1:26" x14ac:dyDescent="0.25">
      <c r="A3" s="49"/>
      <c r="B3" s="50"/>
      <c r="C3" s="50"/>
      <c r="D3" s="50"/>
      <c r="E3" s="50"/>
      <c r="F3" s="50"/>
      <c r="G3" s="51"/>
      <c r="H3" s="58">
        <v>3</v>
      </c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59"/>
      <c r="U3" s="71">
        <f t="shared" ref="U3:U30" si="0">SUM(H3,J3,L3,N3,P3,R3,T3)</f>
        <v>3</v>
      </c>
      <c r="V3" s="183">
        <f t="shared" ref="V3:V30" si="1">($U3)/$D$2</f>
        <v>2.4937655860349127E-3</v>
      </c>
      <c r="W3" s="193">
        <f>D2</f>
        <v>1203</v>
      </c>
      <c r="X3" s="165" t="s">
        <v>15</v>
      </c>
      <c r="Y3" s="178">
        <f t="shared" ref="Y3:Y15" si="2">U3</f>
        <v>3</v>
      </c>
      <c r="Z3" s="210" t="s">
        <v>120</v>
      </c>
    </row>
    <row r="4" spans="1:26" x14ac:dyDescent="0.25">
      <c r="A4" s="52"/>
      <c r="B4" s="53"/>
      <c r="C4" s="53"/>
      <c r="D4" s="53"/>
      <c r="E4" s="53"/>
      <c r="F4" s="53"/>
      <c r="G4" s="54"/>
      <c r="H4" s="342">
        <v>1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62">
        <v>1</v>
      </c>
      <c r="U4" s="71">
        <f t="shared" si="0"/>
        <v>2</v>
      </c>
      <c r="V4" s="183">
        <f t="shared" si="1"/>
        <v>1.6625103906899418E-3</v>
      </c>
      <c r="W4" s="193"/>
      <c r="X4" s="171" t="s">
        <v>43</v>
      </c>
      <c r="Y4" s="160"/>
      <c r="Z4" s="210" t="s">
        <v>193</v>
      </c>
    </row>
    <row r="5" spans="1:26" x14ac:dyDescent="0.25">
      <c r="A5" s="52"/>
      <c r="B5" s="53"/>
      <c r="C5" s="53"/>
      <c r="D5" s="53"/>
      <c r="E5" s="53"/>
      <c r="F5" s="53"/>
      <c r="G5" s="54"/>
      <c r="H5" s="60">
        <v>11</v>
      </c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1"/>
      <c r="U5" s="67">
        <f t="shared" si="0"/>
        <v>11</v>
      </c>
      <c r="V5" s="183">
        <f t="shared" si="1"/>
        <v>9.14380714879468E-3</v>
      </c>
      <c r="W5" s="193">
        <f>D2</f>
        <v>1203</v>
      </c>
      <c r="X5" s="164" t="s">
        <v>5</v>
      </c>
      <c r="Y5" s="160">
        <f t="shared" si="2"/>
        <v>11</v>
      </c>
      <c r="Z5" s="126"/>
    </row>
    <row r="6" spans="1:26" x14ac:dyDescent="0.25">
      <c r="A6" s="52"/>
      <c r="B6" s="53"/>
      <c r="C6" s="53"/>
      <c r="D6" s="53"/>
      <c r="E6" s="55"/>
      <c r="F6" s="55"/>
      <c r="G6" s="54"/>
      <c r="H6" s="60">
        <v>25</v>
      </c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1"/>
      <c r="U6" s="67">
        <f t="shared" si="0"/>
        <v>25</v>
      </c>
      <c r="V6" s="183">
        <f t="shared" si="1"/>
        <v>2.0781379883624274E-2</v>
      </c>
      <c r="W6" s="193">
        <f>D2</f>
        <v>1203</v>
      </c>
      <c r="X6" s="164" t="s">
        <v>13</v>
      </c>
      <c r="Y6" s="160">
        <f t="shared" si="2"/>
        <v>25</v>
      </c>
      <c r="Z6" s="477"/>
    </row>
    <row r="7" spans="1:26" x14ac:dyDescent="0.25">
      <c r="A7" s="52"/>
      <c r="B7" s="53"/>
      <c r="C7" s="53"/>
      <c r="D7" s="53"/>
      <c r="E7" s="55"/>
      <c r="F7" s="55"/>
      <c r="G7" s="54"/>
      <c r="H7" s="60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1"/>
      <c r="U7" s="67">
        <f t="shared" si="0"/>
        <v>0</v>
      </c>
      <c r="V7" s="183">
        <f t="shared" si="1"/>
        <v>0</v>
      </c>
      <c r="W7" s="193">
        <f>D2</f>
        <v>1203</v>
      </c>
      <c r="X7" s="164" t="s">
        <v>14</v>
      </c>
      <c r="Y7" s="160">
        <f t="shared" si="2"/>
        <v>0</v>
      </c>
      <c r="Z7" s="78"/>
    </row>
    <row r="8" spans="1:26" x14ac:dyDescent="0.25">
      <c r="A8" s="52"/>
      <c r="B8" s="53"/>
      <c r="C8" s="53"/>
      <c r="D8" s="53"/>
      <c r="E8" s="55"/>
      <c r="F8" s="55"/>
      <c r="G8" s="54"/>
      <c r="H8" s="60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1"/>
      <c r="U8" s="67">
        <f t="shared" si="0"/>
        <v>0</v>
      </c>
      <c r="V8" s="183">
        <f t="shared" si="1"/>
        <v>0</v>
      </c>
      <c r="W8" s="193">
        <f>D2</f>
        <v>1203</v>
      </c>
      <c r="X8" s="164" t="s">
        <v>30</v>
      </c>
      <c r="Y8" s="160">
        <f t="shared" si="2"/>
        <v>0</v>
      </c>
      <c r="Z8" s="212" t="s">
        <v>388</v>
      </c>
    </row>
    <row r="9" spans="1:26" ht="15.75" x14ac:dyDescent="0.25">
      <c r="A9" s="52"/>
      <c r="B9" s="53"/>
      <c r="C9" s="53"/>
      <c r="D9" s="53"/>
      <c r="E9" s="55"/>
      <c r="F9" s="55"/>
      <c r="G9" s="54"/>
      <c r="H9" s="60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1"/>
      <c r="U9" s="67">
        <f t="shared" si="0"/>
        <v>0</v>
      </c>
      <c r="V9" s="183">
        <f t="shared" si="1"/>
        <v>0</v>
      </c>
      <c r="W9" s="193">
        <f>D2</f>
        <v>1203</v>
      </c>
      <c r="X9" s="203" t="s">
        <v>31</v>
      </c>
      <c r="Y9" s="160">
        <f t="shared" si="2"/>
        <v>0</v>
      </c>
      <c r="Z9" s="126"/>
    </row>
    <row r="10" spans="1:26" x14ac:dyDescent="0.25">
      <c r="A10" s="52"/>
      <c r="B10" s="53"/>
      <c r="C10" s="53"/>
      <c r="D10" s="53"/>
      <c r="E10" s="55"/>
      <c r="F10" s="55"/>
      <c r="G10" s="54"/>
      <c r="H10" s="60">
        <v>3</v>
      </c>
      <c r="I10" s="69"/>
      <c r="J10" s="69">
        <v>2</v>
      </c>
      <c r="K10" s="69"/>
      <c r="L10" s="69"/>
      <c r="M10" s="69"/>
      <c r="N10" s="69"/>
      <c r="O10" s="69"/>
      <c r="P10" s="69"/>
      <c r="Q10" s="69"/>
      <c r="R10" s="69"/>
      <c r="S10" s="69"/>
      <c r="T10" s="61"/>
      <c r="U10" s="67">
        <f t="shared" si="0"/>
        <v>5</v>
      </c>
      <c r="V10" s="183">
        <f t="shared" si="1"/>
        <v>4.1562759767248547E-3</v>
      </c>
      <c r="W10" s="193">
        <f>D2</f>
        <v>1203</v>
      </c>
      <c r="X10" s="164" t="s">
        <v>19</v>
      </c>
      <c r="Y10" s="160">
        <f t="shared" si="2"/>
        <v>5</v>
      </c>
      <c r="Z10" s="126"/>
    </row>
    <row r="11" spans="1:26" x14ac:dyDescent="0.25">
      <c r="A11" s="52"/>
      <c r="B11" s="53"/>
      <c r="C11" s="53"/>
      <c r="D11" s="53"/>
      <c r="E11" s="55"/>
      <c r="F11" s="55"/>
      <c r="G11" s="54"/>
      <c r="H11" s="60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1"/>
      <c r="U11" s="67">
        <f t="shared" si="0"/>
        <v>0</v>
      </c>
      <c r="V11" s="183">
        <f t="shared" si="1"/>
        <v>0</v>
      </c>
      <c r="W11" s="193">
        <f>D2</f>
        <v>1203</v>
      </c>
      <c r="X11" s="164" t="s">
        <v>29</v>
      </c>
      <c r="Y11" s="160">
        <f t="shared" si="2"/>
        <v>0</v>
      </c>
      <c r="Z11" s="126"/>
    </row>
    <row r="12" spans="1:26" x14ac:dyDescent="0.25">
      <c r="A12" s="52"/>
      <c r="B12" s="53"/>
      <c r="C12" s="53"/>
      <c r="D12" s="53"/>
      <c r="E12" s="55"/>
      <c r="F12" s="55"/>
      <c r="G12" s="54"/>
      <c r="H12" s="60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1"/>
      <c r="U12" s="67">
        <f t="shared" si="0"/>
        <v>0</v>
      </c>
      <c r="V12" s="183">
        <f t="shared" si="1"/>
        <v>0</v>
      </c>
      <c r="W12" s="193">
        <f>D2</f>
        <v>1203</v>
      </c>
      <c r="X12" s="164" t="s">
        <v>0</v>
      </c>
      <c r="Y12" s="160">
        <f t="shared" si="2"/>
        <v>0</v>
      </c>
      <c r="Z12" s="78"/>
    </row>
    <row r="13" spans="1:26" x14ac:dyDescent="0.25">
      <c r="A13" s="52"/>
      <c r="B13" s="53"/>
      <c r="C13" s="53"/>
      <c r="D13" s="53"/>
      <c r="E13" s="55"/>
      <c r="F13" s="55"/>
      <c r="G13" s="54"/>
      <c r="H13" s="60">
        <v>2</v>
      </c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1">
        <v>3</v>
      </c>
      <c r="U13" s="67">
        <f t="shared" si="0"/>
        <v>5</v>
      </c>
      <c r="V13" s="183">
        <f t="shared" si="1"/>
        <v>4.1562759767248547E-3</v>
      </c>
      <c r="W13" s="193">
        <f>D2</f>
        <v>1203</v>
      </c>
      <c r="X13" s="164" t="s">
        <v>11</v>
      </c>
      <c r="Y13" s="160">
        <f t="shared" si="2"/>
        <v>5</v>
      </c>
      <c r="Z13" s="354" t="s">
        <v>386</v>
      </c>
    </row>
    <row r="14" spans="1:26" x14ac:dyDescent="0.25">
      <c r="A14" s="52"/>
      <c r="B14" s="53"/>
      <c r="C14" s="53"/>
      <c r="D14" s="53"/>
      <c r="E14" s="55"/>
      <c r="F14" s="55"/>
      <c r="G14" s="54"/>
      <c r="H14" s="60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1"/>
      <c r="U14" s="67">
        <f t="shared" si="0"/>
        <v>0</v>
      </c>
      <c r="V14" s="183">
        <f t="shared" si="1"/>
        <v>0</v>
      </c>
      <c r="W14" s="193">
        <f>D2</f>
        <v>1203</v>
      </c>
      <c r="X14" s="164" t="s">
        <v>33</v>
      </c>
      <c r="Y14" s="160">
        <f t="shared" si="2"/>
        <v>0</v>
      </c>
      <c r="Z14" s="126"/>
    </row>
    <row r="15" spans="1:26" ht="15.75" x14ac:dyDescent="0.25">
      <c r="A15" s="52"/>
      <c r="B15" s="53"/>
      <c r="C15" s="53"/>
      <c r="D15" s="53"/>
      <c r="E15" s="55"/>
      <c r="F15" s="55"/>
      <c r="G15" s="54"/>
      <c r="H15" s="64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6"/>
      <c r="U15" s="159">
        <f t="shared" si="0"/>
        <v>0</v>
      </c>
      <c r="V15" s="183">
        <f t="shared" si="1"/>
        <v>0</v>
      </c>
      <c r="W15" s="193">
        <f>D2</f>
        <v>1203</v>
      </c>
      <c r="X15" s="204" t="s">
        <v>26</v>
      </c>
      <c r="Y15" s="160">
        <f t="shared" si="2"/>
        <v>0</v>
      </c>
      <c r="Z15" s="78"/>
    </row>
    <row r="16" spans="1:26" x14ac:dyDescent="0.25">
      <c r="A16" s="52"/>
      <c r="B16" s="53"/>
      <c r="C16" s="53"/>
      <c r="D16" s="53"/>
      <c r="E16" s="55"/>
      <c r="F16" s="55"/>
      <c r="G16" s="56"/>
      <c r="H16" s="34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1">
        <v>2</v>
      </c>
      <c r="U16" s="67">
        <f t="shared" si="0"/>
        <v>2</v>
      </c>
      <c r="V16" s="183">
        <f t="shared" si="1"/>
        <v>1.6625103906899418E-3</v>
      </c>
      <c r="W16" s="193">
        <f>D2</f>
        <v>1203</v>
      </c>
      <c r="X16" s="164" t="s">
        <v>205</v>
      </c>
      <c r="Y16" s="160"/>
      <c r="Z16" s="126"/>
    </row>
    <row r="17" spans="1:26" ht="15.75" thickBot="1" x14ac:dyDescent="0.3">
      <c r="A17" s="52"/>
      <c r="B17" s="53"/>
      <c r="C17" s="53"/>
      <c r="D17" s="53"/>
      <c r="E17" s="55"/>
      <c r="F17" s="55"/>
      <c r="G17" s="54"/>
      <c r="H17" s="176"/>
      <c r="I17" s="175"/>
      <c r="J17" s="175">
        <v>7</v>
      </c>
      <c r="K17" s="175"/>
      <c r="L17" s="175"/>
      <c r="M17" s="175"/>
      <c r="N17" s="175"/>
      <c r="O17" s="175"/>
      <c r="P17" s="175"/>
      <c r="Q17" s="175"/>
      <c r="R17" s="175"/>
      <c r="S17" s="175"/>
      <c r="T17" s="174"/>
      <c r="U17" s="173">
        <f t="shared" si="0"/>
        <v>7</v>
      </c>
      <c r="V17" s="245">
        <f t="shared" si="1"/>
        <v>5.8187863674147968E-3</v>
      </c>
      <c r="W17" s="194">
        <f>D2</f>
        <v>1203</v>
      </c>
      <c r="X17" s="172" t="s">
        <v>27</v>
      </c>
      <c r="Y17" s="160">
        <f>U17</f>
        <v>7</v>
      </c>
      <c r="Z17" s="126"/>
    </row>
    <row r="18" spans="1:26" x14ac:dyDescent="0.25">
      <c r="A18" s="52"/>
      <c r="B18" s="53"/>
      <c r="C18" s="53"/>
      <c r="D18" s="53"/>
      <c r="E18" s="55"/>
      <c r="F18" s="55"/>
      <c r="G18" s="54"/>
      <c r="H18" s="58"/>
      <c r="I18" s="149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62"/>
      <c r="U18" s="67">
        <f t="shared" si="0"/>
        <v>0</v>
      </c>
      <c r="V18" s="183">
        <f t="shared" si="1"/>
        <v>0</v>
      </c>
      <c r="W18" s="195">
        <f>D2</f>
        <v>1203</v>
      </c>
      <c r="X18" s="171" t="s">
        <v>10</v>
      </c>
      <c r="Y18" s="160"/>
      <c r="Z18" s="126"/>
    </row>
    <row r="19" spans="1:26" x14ac:dyDescent="0.25">
      <c r="A19" s="52"/>
      <c r="B19" s="53"/>
      <c r="C19" s="53"/>
      <c r="D19" s="53"/>
      <c r="E19" s="55"/>
      <c r="F19" s="55"/>
      <c r="G19" s="54"/>
      <c r="H19" s="60"/>
      <c r="I19" s="34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1"/>
      <c r="U19" s="67">
        <f t="shared" si="0"/>
        <v>0</v>
      </c>
      <c r="V19" s="183">
        <f t="shared" si="1"/>
        <v>0</v>
      </c>
      <c r="W19" s="193">
        <f>D2</f>
        <v>1203</v>
      </c>
      <c r="X19" s="164" t="s">
        <v>28</v>
      </c>
      <c r="Y19" s="160">
        <f t="shared" ref="Y19:Y39" si="3">U19</f>
        <v>0</v>
      </c>
      <c r="Z19" s="78"/>
    </row>
    <row r="20" spans="1:26" x14ac:dyDescent="0.25">
      <c r="A20" s="52"/>
      <c r="B20" s="53"/>
      <c r="C20" s="53"/>
      <c r="D20" s="53"/>
      <c r="E20" s="55"/>
      <c r="F20" s="55"/>
      <c r="G20" s="54"/>
      <c r="H20" s="60"/>
      <c r="I20" s="34">
        <v>1</v>
      </c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1">
        <v>5</v>
      </c>
      <c r="U20" s="67">
        <f t="shared" si="0"/>
        <v>5</v>
      </c>
      <c r="V20" s="183">
        <f t="shared" si="1"/>
        <v>4.1562759767248547E-3</v>
      </c>
      <c r="W20" s="193">
        <f>D2</f>
        <v>1203</v>
      </c>
      <c r="X20" s="164" t="s">
        <v>3</v>
      </c>
      <c r="Y20" s="160">
        <f t="shared" si="3"/>
        <v>5</v>
      </c>
      <c r="Z20" s="78"/>
    </row>
    <row r="21" spans="1:26" x14ac:dyDescent="0.25">
      <c r="A21" s="52"/>
      <c r="B21" s="53"/>
      <c r="C21" s="53"/>
      <c r="D21" s="53"/>
      <c r="E21" s="55"/>
      <c r="F21" s="55"/>
      <c r="G21" s="54"/>
      <c r="H21" s="60"/>
      <c r="I21" s="34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1"/>
      <c r="U21" s="67">
        <f t="shared" si="0"/>
        <v>0</v>
      </c>
      <c r="V21" s="183">
        <f t="shared" si="1"/>
        <v>0</v>
      </c>
      <c r="W21" s="193">
        <f>D2</f>
        <v>1203</v>
      </c>
      <c r="X21" s="164" t="s">
        <v>7</v>
      </c>
      <c r="Y21" s="160">
        <f t="shared" si="3"/>
        <v>0</v>
      </c>
      <c r="Z21" s="95"/>
    </row>
    <row r="22" spans="1:26" x14ac:dyDescent="0.25">
      <c r="A22" s="52"/>
      <c r="B22" s="53"/>
      <c r="C22" s="53"/>
      <c r="D22" s="53"/>
      <c r="E22" s="55"/>
      <c r="F22" s="55"/>
      <c r="G22" s="54"/>
      <c r="H22" s="60"/>
      <c r="I22" s="34">
        <v>2</v>
      </c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1">
        <v>1</v>
      </c>
      <c r="U22" s="67">
        <f t="shared" si="0"/>
        <v>1</v>
      </c>
      <c r="V22" s="183">
        <f t="shared" si="1"/>
        <v>8.3125519534497092E-4</v>
      </c>
      <c r="W22" s="193">
        <f>D2</f>
        <v>1203</v>
      </c>
      <c r="X22" s="164" t="s">
        <v>8</v>
      </c>
      <c r="Y22" s="160">
        <f t="shared" si="3"/>
        <v>1</v>
      </c>
      <c r="Z22" s="95"/>
    </row>
    <row r="23" spans="1:26" x14ac:dyDescent="0.25">
      <c r="A23" s="52"/>
      <c r="B23" s="53"/>
      <c r="C23" s="53"/>
      <c r="D23" s="53"/>
      <c r="E23" s="55"/>
      <c r="F23" s="55"/>
      <c r="G23" s="54"/>
      <c r="H23" s="60"/>
      <c r="I23" s="34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1"/>
      <c r="U23" s="67">
        <f t="shared" si="0"/>
        <v>0</v>
      </c>
      <c r="V23" s="183">
        <f t="shared" si="1"/>
        <v>0</v>
      </c>
      <c r="W23" s="193">
        <f>D2</f>
        <v>1203</v>
      </c>
      <c r="X23" s="164" t="s">
        <v>77</v>
      </c>
      <c r="Y23" s="160">
        <f t="shared" si="3"/>
        <v>0</v>
      </c>
      <c r="Z23" s="126"/>
    </row>
    <row r="24" spans="1:26" x14ac:dyDescent="0.25">
      <c r="A24" s="52"/>
      <c r="B24" s="53"/>
      <c r="C24" s="53"/>
      <c r="D24" s="53"/>
      <c r="E24" s="55"/>
      <c r="F24" s="55"/>
      <c r="G24" s="54"/>
      <c r="H24" s="124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1"/>
      <c r="U24" s="67">
        <f t="shared" si="0"/>
        <v>0</v>
      </c>
      <c r="V24" s="183">
        <f t="shared" si="1"/>
        <v>0</v>
      </c>
      <c r="W24" s="193">
        <f>D2</f>
        <v>1203</v>
      </c>
      <c r="X24" s="164" t="s">
        <v>19</v>
      </c>
      <c r="Y24" s="160">
        <f t="shared" si="3"/>
        <v>0</v>
      </c>
      <c r="Z24" s="78"/>
    </row>
    <row r="25" spans="1:26" x14ac:dyDescent="0.25">
      <c r="A25" s="52"/>
      <c r="B25" s="53"/>
      <c r="C25" s="53"/>
      <c r="D25" s="53"/>
      <c r="E25" s="55"/>
      <c r="F25" s="55"/>
      <c r="G25" s="54"/>
      <c r="H25" s="60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1"/>
      <c r="U25" s="67">
        <f t="shared" si="0"/>
        <v>0</v>
      </c>
      <c r="V25" s="183">
        <f t="shared" si="1"/>
        <v>0</v>
      </c>
      <c r="W25" s="193">
        <f>D2</f>
        <v>1203</v>
      </c>
      <c r="X25" s="164" t="s">
        <v>78</v>
      </c>
      <c r="Y25" s="160">
        <f t="shared" si="3"/>
        <v>0</v>
      </c>
      <c r="Z25" s="78"/>
    </row>
    <row r="26" spans="1:26" x14ac:dyDescent="0.25">
      <c r="A26" s="52"/>
      <c r="B26" s="53"/>
      <c r="C26" s="53"/>
      <c r="D26" s="53"/>
      <c r="E26" s="55"/>
      <c r="F26" s="55"/>
      <c r="G26" s="54"/>
      <c r="H26" s="60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1"/>
      <c r="U26" s="67">
        <f t="shared" si="0"/>
        <v>0</v>
      </c>
      <c r="V26" s="183">
        <f t="shared" si="1"/>
        <v>0</v>
      </c>
      <c r="W26" s="193">
        <f>D2</f>
        <v>1203</v>
      </c>
      <c r="X26" s="164" t="s">
        <v>192</v>
      </c>
      <c r="Y26" s="160">
        <f t="shared" si="3"/>
        <v>0</v>
      </c>
      <c r="Z26" s="126"/>
    </row>
    <row r="27" spans="1:26" x14ac:dyDescent="0.25">
      <c r="A27" s="52"/>
      <c r="B27" s="53"/>
      <c r="C27" s="53"/>
      <c r="D27" s="53"/>
      <c r="E27" s="55"/>
      <c r="F27" s="55"/>
      <c r="G27" s="54"/>
      <c r="H27" s="60"/>
      <c r="I27" s="69">
        <v>19</v>
      </c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1"/>
      <c r="U27" s="67">
        <f t="shared" si="0"/>
        <v>0</v>
      </c>
      <c r="V27" s="183">
        <f t="shared" si="1"/>
        <v>0</v>
      </c>
      <c r="W27" s="193">
        <f>D2</f>
        <v>1203</v>
      </c>
      <c r="X27" s="164" t="s">
        <v>12</v>
      </c>
      <c r="Y27" s="160">
        <f t="shared" si="3"/>
        <v>0</v>
      </c>
      <c r="Z27" s="126"/>
    </row>
    <row r="28" spans="1:26" x14ac:dyDescent="0.25">
      <c r="A28" s="52"/>
      <c r="B28" s="53"/>
      <c r="C28" s="53"/>
      <c r="D28" s="53"/>
      <c r="E28" s="55"/>
      <c r="F28" s="55"/>
      <c r="G28" s="54"/>
      <c r="H28" s="60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1"/>
      <c r="U28" s="67">
        <f t="shared" si="0"/>
        <v>0</v>
      </c>
      <c r="V28" s="183">
        <f t="shared" si="1"/>
        <v>0</v>
      </c>
      <c r="W28" s="193">
        <f>D2</f>
        <v>1203</v>
      </c>
      <c r="X28" s="164" t="s">
        <v>92</v>
      </c>
      <c r="Y28" s="160">
        <f t="shared" si="3"/>
        <v>0</v>
      </c>
      <c r="Z28" s="78"/>
    </row>
    <row r="29" spans="1:26" x14ac:dyDescent="0.25">
      <c r="A29" s="52"/>
      <c r="B29" s="53"/>
      <c r="C29" s="53"/>
      <c r="D29" s="53"/>
      <c r="E29" s="55"/>
      <c r="F29" s="55"/>
      <c r="G29" s="54"/>
      <c r="H29" s="60"/>
      <c r="I29" s="69">
        <v>3</v>
      </c>
      <c r="J29" s="63"/>
      <c r="K29" s="63"/>
      <c r="L29" s="63"/>
      <c r="M29" s="63"/>
      <c r="N29" s="63"/>
      <c r="O29" s="63"/>
      <c r="P29" s="63"/>
      <c r="Q29" s="63"/>
      <c r="R29" s="63"/>
      <c r="S29" s="63">
        <v>1</v>
      </c>
      <c r="T29" s="61"/>
      <c r="U29" s="67">
        <f t="shared" si="0"/>
        <v>0</v>
      </c>
      <c r="V29" s="183">
        <f t="shared" si="1"/>
        <v>0</v>
      </c>
      <c r="W29" s="193">
        <f>D2</f>
        <v>1203</v>
      </c>
      <c r="X29" s="164" t="s">
        <v>80</v>
      </c>
      <c r="Y29" s="160">
        <f t="shared" si="3"/>
        <v>0</v>
      </c>
      <c r="Z29" s="78"/>
    </row>
    <row r="30" spans="1:26" ht="16.5" thickBot="1" x14ac:dyDescent="0.3">
      <c r="A30" s="52"/>
      <c r="B30" s="53"/>
      <c r="C30" s="53"/>
      <c r="D30" s="53"/>
      <c r="E30" s="55"/>
      <c r="F30" s="55"/>
      <c r="G30" s="54"/>
      <c r="H30" s="64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6">
        <v>3</v>
      </c>
      <c r="U30" s="67">
        <f t="shared" si="0"/>
        <v>3</v>
      </c>
      <c r="V30" s="183">
        <f t="shared" si="1"/>
        <v>2.4937655860349127E-3</v>
      </c>
      <c r="W30" s="194">
        <f>D2</f>
        <v>1203</v>
      </c>
      <c r="X30" s="357" t="s">
        <v>9</v>
      </c>
      <c r="Y30" s="160">
        <f t="shared" si="3"/>
        <v>3</v>
      </c>
      <c r="Z30" s="78"/>
    </row>
    <row r="31" spans="1:26" ht="15.75" thickBot="1" x14ac:dyDescent="0.3">
      <c r="A31" s="52"/>
      <c r="B31" s="53"/>
      <c r="C31" s="53"/>
      <c r="D31" s="53"/>
      <c r="E31" s="55"/>
      <c r="F31" s="55"/>
      <c r="G31" s="54"/>
      <c r="H31" s="169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7"/>
      <c r="U31" s="166"/>
      <c r="V31" s="166"/>
      <c r="W31" s="235"/>
      <c r="X31" s="116" t="s">
        <v>81</v>
      </c>
      <c r="Y31" s="160">
        <f t="shared" si="3"/>
        <v>0</v>
      </c>
      <c r="Z31" s="126"/>
    </row>
    <row r="32" spans="1:26" x14ac:dyDescent="0.25">
      <c r="A32" s="52"/>
      <c r="B32" s="53"/>
      <c r="C32" s="53"/>
      <c r="D32" s="53"/>
      <c r="E32" s="55"/>
      <c r="F32" s="55"/>
      <c r="G32" s="56"/>
      <c r="H32" s="58">
        <v>2</v>
      </c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59"/>
      <c r="U32" s="71">
        <f t="shared" ref="U32:U39" si="4">SUM(H32,J32,L32,N32,P32,R32,T32)</f>
        <v>2</v>
      </c>
      <c r="V32" s="183">
        <f t="shared" ref="V32:V39" si="5">($U32)/$D$2</f>
        <v>1.6625103906899418E-3</v>
      </c>
      <c r="W32" s="193">
        <f>D2</f>
        <v>1203</v>
      </c>
      <c r="X32" s="480" t="s">
        <v>89</v>
      </c>
      <c r="Y32" s="160">
        <f t="shared" si="3"/>
        <v>2</v>
      </c>
      <c r="Z32" s="326" t="s">
        <v>387</v>
      </c>
    </row>
    <row r="33" spans="1:26" x14ac:dyDescent="0.25">
      <c r="A33" s="52"/>
      <c r="B33" s="53"/>
      <c r="C33" s="53"/>
      <c r="D33" s="53"/>
      <c r="E33" s="55"/>
      <c r="F33" s="55"/>
      <c r="G33" s="56"/>
      <c r="H33" s="60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1"/>
      <c r="U33" s="67">
        <f t="shared" si="4"/>
        <v>0</v>
      </c>
      <c r="V33" s="183">
        <f t="shared" si="5"/>
        <v>0</v>
      </c>
      <c r="W33" s="193">
        <f>D2</f>
        <v>1203</v>
      </c>
      <c r="X33" s="164" t="s">
        <v>83</v>
      </c>
      <c r="Y33" s="160">
        <f t="shared" si="3"/>
        <v>0</v>
      </c>
      <c r="Z33" s="126"/>
    </row>
    <row r="34" spans="1:26" x14ac:dyDescent="0.25">
      <c r="A34" s="52"/>
      <c r="B34" s="53"/>
      <c r="C34" s="53"/>
      <c r="D34" s="53"/>
      <c r="E34" s="55"/>
      <c r="F34" s="55"/>
      <c r="G34" s="56"/>
      <c r="H34" s="60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1"/>
      <c r="U34" s="67">
        <f t="shared" si="4"/>
        <v>0</v>
      </c>
      <c r="V34" s="183">
        <f t="shared" si="5"/>
        <v>0</v>
      </c>
      <c r="W34" s="193">
        <f>D2</f>
        <v>1203</v>
      </c>
      <c r="X34" s="37" t="s">
        <v>159</v>
      </c>
      <c r="Y34" s="160">
        <f t="shared" si="3"/>
        <v>0</v>
      </c>
      <c r="Z34" s="300" t="s">
        <v>189</v>
      </c>
    </row>
    <row r="35" spans="1:26" ht="15.75" x14ac:dyDescent="0.25">
      <c r="A35" s="52"/>
      <c r="B35" s="53"/>
      <c r="C35" s="53"/>
      <c r="D35" s="53"/>
      <c r="E35" s="55"/>
      <c r="F35" s="55"/>
      <c r="G35" s="56"/>
      <c r="H35" s="60">
        <v>2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1"/>
      <c r="U35" s="67">
        <f t="shared" si="4"/>
        <v>2</v>
      </c>
      <c r="V35" s="183">
        <f t="shared" si="5"/>
        <v>1.6625103906899418E-3</v>
      </c>
      <c r="W35" s="193">
        <f>D2</f>
        <v>1203</v>
      </c>
      <c r="X35" s="204" t="s">
        <v>26</v>
      </c>
      <c r="Y35" s="160">
        <f t="shared" si="3"/>
        <v>2</v>
      </c>
      <c r="Z35" s="126" t="s">
        <v>385</v>
      </c>
    </row>
    <row r="36" spans="1:26" x14ac:dyDescent="0.25">
      <c r="A36" s="52"/>
      <c r="B36" s="53"/>
      <c r="C36" s="53"/>
      <c r="D36" s="53"/>
      <c r="E36" s="55"/>
      <c r="F36" s="55"/>
      <c r="G36" s="56"/>
      <c r="H36" s="60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1"/>
      <c r="U36" s="67">
        <f t="shared" si="4"/>
        <v>0</v>
      </c>
      <c r="V36" s="183">
        <f t="shared" si="5"/>
        <v>0</v>
      </c>
      <c r="W36" s="193">
        <f>D2</f>
        <v>1203</v>
      </c>
      <c r="X36" s="164" t="s">
        <v>190</v>
      </c>
      <c r="Y36" s="160">
        <f t="shared" si="3"/>
        <v>0</v>
      </c>
      <c r="Z36" s="126"/>
    </row>
    <row r="37" spans="1:26" ht="15.75" x14ac:dyDescent="0.25">
      <c r="A37" s="52"/>
      <c r="B37" s="53"/>
      <c r="C37" s="53"/>
      <c r="D37" s="53"/>
      <c r="E37" s="55"/>
      <c r="F37" s="55"/>
      <c r="G37" s="56"/>
      <c r="H37" s="60">
        <v>2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1"/>
      <c r="U37" s="67">
        <f t="shared" si="4"/>
        <v>2</v>
      </c>
      <c r="V37" s="183">
        <f t="shared" si="5"/>
        <v>1.6625103906899418E-3</v>
      </c>
      <c r="W37" s="193">
        <f>D2</f>
        <v>1203</v>
      </c>
      <c r="X37" s="203" t="s">
        <v>148</v>
      </c>
      <c r="Y37" s="160">
        <f t="shared" si="3"/>
        <v>2</v>
      </c>
      <c r="Z37" s="78"/>
    </row>
    <row r="38" spans="1:26" ht="15.75" thickBot="1" x14ac:dyDescent="0.3">
      <c r="A38" s="155"/>
      <c r="B38" s="156"/>
      <c r="C38" s="156"/>
      <c r="D38" s="156"/>
      <c r="E38" s="157"/>
      <c r="F38" s="157"/>
      <c r="G38" s="163"/>
      <c r="H38" s="64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6"/>
      <c r="U38" s="159">
        <f t="shared" si="4"/>
        <v>0</v>
      </c>
      <c r="V38" s="245">
        <f t="shared" si="5"/>
        <v>0</v>
      </c>
      <c r="W38" s="194">
        <f>D2</f>
        <v>1203</v>
      </c>
      <c r="X38" s="234" t="s">
        <v>71</v>
      </c>
      <c r="Y38" s="160">
        <f t="shared" si="3"/>
        <v>0</v>
      </c>
      <c r="Z38" s="162"/>
    </row>
    <row r="39" spans="1:26" ht="15.75" thickBot="1" x14ac:dyDescent="0.3">
      <c r="G39" s="47" t="s">
        <v>4</v>
      </c>
      <c r="H39" s="57">
        <f t="shared" ref="H39:T39" si="6">SUM(H3:H38)</f>
        <v>51</v>
      </c>
      <c r="I39" s="57">
        <f t="shared" si="6"/>
        <v>25</v>
      </c>
      <c r="J39" s="57">
        <f t="shared" si="6"/>
        <v>9</v>
      </c>
      <c r="K39" s="57">
        <f t="shared" si="6"/>
        <v>0</v>
      </c>
      <c r="L39" s="57">
        <f t="shared" si="6"/>
        <v>0</v>
      </c>
      <c r="M39" s="57">
        <f t="shared" si="6"/>
        <v>0</v>
      </c>
      <c r="N39" s="57">
        <f t="shared" si="6"/>
        <v>0</v>
      </c>
      <c r="O39" s="57">
        <f t="shared" si="6"/>
        <v>0</v>
      </c>
      <c r="P39" s="57">
        <f t="shared" si="6"/>
        <v>0</v>
      </c>
      <c r="Q39" s="57">
        <f t="shared" si="6"/>
        <v>0</v>
      </c>
      <c r="R39" s="57">
        <f t="shared" si="6"/>
        <v>0</v>
      </c>
      <c r="S39" s="57">
        <f t="shared" si="6"/>
        <v>1</v>
      </c>
      <c r="T39" s="57">
        <f t="shared" si="6"/>
        <v>15</v>
      </c>
      <c r="U39" s="72">
        <f t="shared" si="4"/>
        <v>75</v>
      </c>
      <c r="V39" s="183">
        <f t="shared" si="5"/>
        <v>6.2344139650872821E-2</v>
      </c>
      <c r="W39" s="194">
        <f>D2</f>
        <v>1203</v>
      </c>
      <c r="X39" s="161"/>
      <c r="Y39" s="160">
        <f t="shared" si="3"/>
        <v>75</v>
      </c>
      <c r="Z39" s="12" t="s">
        <v>100</v>
      </c>
    </row>
  </sheetData>
  <conditionalFormatting sqref="M40:M1048576">
    <cfRule type="cellIs" dxfId="202" priority="134" operator="greaterThan">
      <formula>0.2</formula>
    </cfRule>
  </conditionalFormatting>
  <conditionalFormatting sqref="V3:V30">
    <cfRule type="cellIs" dxfId="201" priority="31" operator="greaterThan">
      <formula>0.2</formula>
    </cfRule>
  </conditionalFormatting>
  <conditionalFormatting sqref="V2:W2">
    <cfRule type="cellIs" dxfId="200" priority="30" operator="greaterThan">
      <formula>0.2</formula>
    </cfRule>
  </conditionalFormatting>
  <conditionalFormatting sqref="V1">
    <cfRule type="cellIs" dxfId="199" priority="29" operator="greaterThan">
      <formula>0.2</formula>
    </cfRule>
  </conditionalFormatting>
  <conditionalFormatting sqref="W1">
    <cfRule type="cellIs" dxfId="198" priority="28" operator="greaterThan">
      <formula>0.2</formula>
    </cfRule>
  </conditionalFormatting>
  <conditionalFormatting sqref="V39">
    <cfRule type="cellIs" dxfId="197" priority="26" operator="greaterThan">
      <formula>0.2</formula>
    </cfRule>
  </conditionalFormatting>
  <conditionalFormatting sqref="V32:V39">
    <cfRule type="cellIs" dxfId="196" priority="25" operator="greaterThan">
      <formula>0.2</formula>
    </cfRule>
  </conditionalFormatting>
  <conditionalFormatting sqref="V32:V39">
    <cfRule type="colorScale" priority="27">
      <colorScale>
        <cfvo type="min"/>
        <cfvo type="max"/>
        <color rgb="FFFCFCFF"/>
        <color rgb="FFF8696B"/>
      </colorScale>
    </cfRule>
  </conditionalFormatting>
  <conditionalFormatting sqref="V3:V30">
    <cfRule type="colorScale" priority="32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3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pageSetUpPr fitToPage="1"/>
  </sheetPr>
  <dimension ref="A1:U34"/>
  <sheetViews>
    <sheetView showGridLines="0" zoomScaleNormal="100" workbookViewId="0">
      <selection activeCell="J33" sqref="J33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31" style="23" bestFit="1" customWidth="1"/>
    <col min="16" max="16" width="10.7109375" style="23" customWidth="1"/>
    <col min="17" max="17" width="10.85546875" style="23" customWidth="1"/>
    <col min="18" max="18" width="10.42578125" style="23" customWidth="1"/>
    <col min="19" max="16384" width="9.140625" style="23"/>
  </cols>
  <sheetData>
    <row r="1" spans="1:21" ht="54" customHeight="1" x14ac:dyDescent="0.25">
      <c r="A1" s="558" t="s">
        <v>162</v>
      </c>
      <c r="B1" s="558"/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  <c r="R1" s="558"/>
    </row>
    <row r="3" spans="1:21" ht="26.25" customHeight="1" x14ac:dyDescent="0.25">
      <c r="O3" s="559" t="s">
        <v>50</v>
      </c>
      <c r="P3" s="560"/>
      <c r="Q3" s="560"/>
      <c r="R3" s="560"/>
    </row>
    <row r="4" spans="1:21" x14ac:dyDescent="0.25">
      <c r="O4" s="561" t="s">
        <v>20</v>
      </c>
      <c r="P4" s="562"/>
      <c r="Q4" s="563"/>
      <c r="R4" s="30" t="s">
        <v>24</v>
      </c>
    </row>
    <row r="5" spans="1:21" x14ac:dyDescent="0.25">
      <c r="O5" s="19" t="s">
        <v>13</v>
      </c>
      <c r="P5" s="20"/>
      <c r="Q5" s="21"/>
      <c r="R5" s="255">
        <f>SUMIF('EB212'!$X$1:$X$39,O5,'EB212'!U$1:$U$39)</f>
        <v>25</v>
      </c>
    </row>
    <row r="6" spans="1:21" x14ac:dyDescent="0.25">
      <c r="O6" s="19" t="s">
        <v>5</v>
      </c>
      <c r="P6" s="20"/>
      <c r="Q6" s="21"/>
      <c r="R6" s="255">
        <f>SUMIF('EB212'!$X$1:$X$39,O6,'EB212'!U$1:$U$39)</f>
        <v>11</v>
      </c>
    </row>
    <row r="7" spans="1:21" x14ac:dyDescent="0.25">
      <c r="O7" s="19" t="s">
        <v>27</v>
      </c>
      <c r="P7" s="20"/>
      <c r="Q7" s="21"/>
      <c r="R7" s="255">
        <f>SUMIF('EB212'!$X$1:$X$39,O7,'EB212'!U$1:$U$39)</f>
        <v>7</v>
      </c>
    </row>
    <row r="8" spans="1:21" x14ac:dyDescent="0.25">
      <c r="O8" s="19" t="s">
        <v>11</v>
      </c>
      <c r="P8" s="20"/>
      <c r="Q8" s="21"/>
      <c r="R8" s="255">
        <f>SUMIF('EB212'!$X$1:$X$39,O8,'EB212'!U$1:$U$39)</f>
        <v>5</v>
      </c>
    </row>
    <row r="9" spans="1:21" x14ac:dyDescent="0.25">
      <c r="O9" s="19" t="s">
        <v>3</v>
      </c>
      <c r="P9" s="20"/>
      <c r="Q9" s="21"/>
      <c r="R9" s="255">
        <f>SUMIF('EB212'!$X$1:$X$39,O9,'EB212'!U$1:$U$39)</f>
        <v>5</v>
      </c>
    </row>
    <row r="10" spans="1:21" ht="15.75" x14ac:dyDescent="0.25">
      <c r="O10" s="19" t="s">
        <v>19</v>
      </c>
      <c r="P10" s="20"/>
      <c r="Q10" s="21"/>
      <c r="R10" s="255">
        <f>SUMIF('EB212'!$X$1:$X$39,O10,'EB212'!U$1:$U$39)</f>
        <v>5</v>
      </c>
      <c r="U10" s="125"/>
    </row>
    <row r="11" spans="1:21" x14ac:dyDescent="0.25">
      <c r="O11" s="19" t="s">
        <v>15</v>
      </c>
      <c r="P11" s="20"/>
      <c r="Q11" s="21"/>
      <c r="R11" s="255">
        <f>SUMIF('EB212'!$X$1:$X$39,O11,'EB212'!U$1:$U$39)</f>
        <v>3</v>
      </c>
    </row>
    <row r="12" spans="1:21" x14ac:dyDescent="0.25">
      <c r="O12" s="19" t="s">
        <v>9</v>
      </c>
      <c r="P12" s="20"/>
      <c r="Q12" s="21"/>
      <c r="R12" s="255">
        <f>SUMIF('EB212'!$X$1:$X$39,O12,'EB212'!U$1:$U$39)</f>
        <v>3</v>
      </c>
    </row>
    <row r="13" spans="1:21" x14ac:dyDescent="0.25">
      <c r="O13" s="19" t="s">
        <v>43</v>
      </c>
      <c r="P13" s="20"/>
      <c r="Q13" s="21"/>
      <c r="R13" s="255">
        <f>SUMIF('EB212'!$X$1:$X$39,O13,'EB212'!U$1:$U$39)</f>
        <v>2</v>
      </c>
    </row>
    <row r="14" spans="1:21" x14ac:dyDescent="0.25">
      <c r="O14" s="20" t="s">
        <v>26</v>
      </c>
      <c r="P14" s="20"/>
      <c r="Q14" s="21"/>
      <c r="R14" s="255">
        <f>SUMIF('EB212'!$X$1:$X$39,O14,'EB212'!U$1:$U$39)</f>
        <v>2</v>
      </c>
    </row>
    <row r="15" spans="1:21" x14ac:dyDescent="0.25">
      <c r="O15" s="19" t="s">
        <v>8</v>
      </c>
      <c r="P15" s="20"/>
      <c r="Q15" s="21"/>
      <c r="R15" s="255">
        <f>SUMIF('EB212'!$X$1:$X$39,O15,'EB212'!U$1:$U$39)</f>
        <v>1</v>
      </c>
    </row>
    <row r="16" spans="1:21" x14ac:dyDescent="0.25">
      <c r="O16" s="19" t="s">
        <v>33</v>
      </c>
      <c r="P16" s="20"/>
      <c r="Q16" s="21"/>
      <c r="R16" s="255">
        <f>SUMIF('EB212'!$X$1:$X$39,O16,'EB212'!U$1:$U$39)</f>
        <v>0</v>
      </c>
    </row>
    <row r="17" spans="1:18" x14ac:dyDescent="0.25">
      <c r="O17" s="20" t="s">
        <v>12</v>
      </c>
      <c r="P17" s="20"/>
      <c r="Q17" s="21"/>
      <c r="R17" s="255">
        <f>SUMIF('EB212'!$X$1:$X$39,O17,'EB212'!U$1:$U$39)</f>
        <v>0</v>
      </c>
    </row>
    <row r="18" spans="1:18" x14ac:dyDescent="0.25">
      <c r="O18" s="19" t="s">
        <v>7</v>
      </c>
      <c r="P18" s="20"/>
      <c r="Q18" s="21"/>
      <c r="R18" s="255">
        <f>SUMIF('EB212'!$X$1:$X$39,O18,'EB212'!U$1:$U$39)</f>
        <v>0</v>
      </c>
    </row>
    <row r="19" spans="1:18" x14ac:dyDescent="0.25">
      <c r="O19" s="19" t="s">
        <v>35</v>
      </c>
      <c r="P19" s="20"/>
      <c r="Q19" s="21"/>
      <c r="R19" s="255">
        <f>SUMIF('EB212'!$X$1:$X$39,O19,'EB212'!U$1:$U$39)</f>
        <v>0</v>
      </c>
    </row>
    <row r="20" spans="1:18" ht="15.75" customHeight="1" x14ac:dyDescent="0.25">
      <c r="O20" s="19" t="s">
        <v>45</v>
      </c>
      <c r="P20" s="20"/>
      <c r="Q20" s="21"/>
      <c r="R20" s="255">
        <f>SUMIF('EB212'!$X$1:$X$39,O20,'EB212'!U$1:$U$39)</f>
        <v>0</v>
      </c>
    </row>
    <row r="21" spans="1:18" ht="23.25" x14ac:dyDescent="0.25">
      <c r="A21" s="567" t="s">
        <v>62</v>
      </c>
      <c r="B21" s="568"/>
      <c r="C21" s="568"/>
      <c r="D21" s="568"/>
      <c r="E21" s="569"/>
      <c r="O21" s="19" t="s">
        <v>10</v>
      </c>
      <c r="P21" s="20"/>
      <c r="Q21" s="21"/>
      <c r="R21" s="255">
        <f>SUMIF('EB212'!$X$1:$X$39,O21,'EB212'!U$1:$U$39)</f>
        <v>0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29" t="s">
        <v>23</v>
      </c>
      <c r="O22" s="19" t="s">
        <v>30</v>
      </c>
      <c r="P22" s="20"/>
      <c r="Q22" s="21"/>
      <c r="R22" s="255">
        <f>SUMIF('EB212'!$X$1:$X$39,O22,'EB212'!U$1:$U$39)</f>
        <v>0</v>
      </c>
    </row>
    <row r="23" spans="1:18" x14ac:dyDescent="0.25">
      <c r="A23" s="301">
        <v>1514184</v>
      </c>
      <c r="B23" s="130">
        <f>VLOOKUP(Table14112[[#This Row],[Shop Order]],'EB212'!A:AA,4,FALSE)</f>
        <v>1203</v>
      </c>
      <c r="C23" s="130">
        <f>VLOOKUP(Table14112[[#This Row],[Shop Order]],'EB212'!A:AA,5,FALSE)</f>
        <v>1128</v>
      </c>
      <c r="D23" s="131">
        <f>VLOOKUP(Table14112[[#This Row],[Shop Order]],'EB212'!A:AA,6,FALSE)</f>
        <v>0.93765586034912718</v>
      </c>
      <c r="E23" s="327">
        <f>VLOOKUP(Table14112[[#This Row],[Shop Order]],'EB212'!A:AA,7,FALSE)</f>
        <v>45358</v>
      </c>
      <c r="O23" s="19" t="s">
        <v>28</v>
      </c>
      <c r="P23" s="20"/>
      <c r="Q23" s="21"/>
      <c r="R23" s="255">
        <f>SUMIF('EB212'!$X$1:$X$39,O23,'EB212'!U$1:$U$39)</f>
        <v>0</v>
      </c>
    </row>
    <row r="24" spans="1:18" x14ac:dyDescent="0.25">
      <c r="A24" s="303"/>
      <c r="B24" s="130" t="e">
        <f>VLOOKUP(Table14112[[#This Row],[Shop Order]],'EB212'!A:AA,4,FALSE)</f>
        <v>#N/A</v>
      </c>
      <c r="C24" s="130" t="e">
        <f>VLOOKUP(Table14112[[#This Row],[Shop Order]],'EB212'!A:AA,5,FALSE)</f>
        <v>#N/A</v>
      </c>
      <c r="D24" s="131" t="e">
        <f>VLOOKUP(Table14112[[#This Row],[Shop Order]],'EB212'!A:AA,6,FALSE)</f>
        <v>#N/A</v>
      </c>
      <c r="E24" s="132" t="e">
        <f>VLOOKUP(Table14112[[#This Row],[Shop Order]],'EB212'!A:AA,7,FALSE)</f>
        <v>#N/A</v>
      </c>
      <c r="G24" s="24"/>
      <c r="O24" s="19" t="s">
        <v>44</v>
      </c>
      <c r="P24" s="20"/>
      <c r="Q24" s="21"/>
      <c r="R24" s="255">
        <f>SUMIF('EB212'!$X$1:$X$39,O24,'EB212'!U$1:$U$39)</f>
        <v>0</v>
      </c>
    </row>
    <row r="25" spans="1:18" x14ac:dyDescent="0.25">
      <c r="A25" s="301"/>
      <c r="B25" s="130" t="e">
        <f>VLOOKUP(Table14112[[#This Row],[Shop Order]],'EB212'!A:AA,4,FALSE)</f>
        <v>#N/A</v>
      </c>
      <c r="C25" s="130" t="e">
        <f>VLOOKUP(Table14112[[#This Row],[Shop Order]],'EB212'!A:AA,5,FALSE)</f>
        <v>#N/A</v>
      </c>
      <c r="D25" s="131" t="e">
        <f>VLOOKUP(Table14112[[#This Row],[Shop Order]],'EB212'!A:AA,6,FALSE)</f>
        <v>#N/A</v>
      </c>
      <c r="E25" s="132" t="e">
        <f>VLOOKUP(Table14112[[#This Row],[Shop Order]],'EB212'!A:AA,7,FALSE)</f>
        <v>#N/A</v>
      </c>
      <c r="O25" s="19" t="s">
        <v>31</v>
      </c>
      <c r="P25" s="20"/>
      <c r="Q25" s="21"/>
      <c r="R25" s="255">
        <f>SUMIF('EB212'!$X$1:$X$39,O25,'EB212'!U$1:$U$39)</f>
        <v>0</v>
      </c>
    </row>
    <row r="26" spans="1:18" x14ac:dyDescent="0.25">
      <c r="A26" s="301"/>
      <c r="B26" s="130" t="e">
        <f>VLOOKUP(Table14112[[#This Row],[Shop Order]],'EB212'!A:AA,4,FALSE)</f>
        <v>#N/A</v>
      </c>
      <c r="C26" s="130" t="e">
        <f>VLOOKUP(Table14112[[#This Row],[Shop Order]],'EB212'!A:AA,5,FALSE)</f>
        <v>#N/A</v>
      </c>
      <c r="D26" s="131" t="e">
        <f>VLOOKUP(Table14112[[#This Row],[Shop Order]],'EB212'!A:AA,6,FALSE)</f>
        <v>#N/A</v>
      </c>
      <c r="E26" s="132" t="e">
        <f>VLOOKUP(Table14112[[#This Row],[Shop Order]],'EB212'!A:AA,7,FALSE)</f>
        <v>#N/A</v>
      </c>
      <c r="O26" s="19" t="s">
        <v>113</v>
      </c>
      <c r="P26" s="20"/>
      <c r="Q26" s="21"/>
      <c r="R26" s="255">
        <f>SUMIF('EB212'!$X$1:$X$39,O26,'EB212'!U$1:$U$39)</f>
        <v>0</v>
      </c>
    </row>
    <row r="27" spans="1:18" x14ac:dyDescent="0.25">
      <c r="A27" s="301"/>
      <c r="B27" s="130" t="e">
        <f>VLOOKUP(Table14112[[#This Row],[Shop Order]],'EB212'!A:AA,4,FALSE)</f>
        <v>#N/A</v>
      </c>
      <c r="C27" s="130" t="e">
        <f>VLOOKUP(Table14112[[#This Row],[Shop Order]],'EB212'!A:AA,5,FALSE)</f>
        <v>#N/A</v>
      </c>
      <c r="D27" s="131" t="e">
        <f>VLOOKUP(Table14112[[#This Row],[Shop Order]],'EB212'!A:AA,6,FALSE)</f>
        <v>#N/A</v>
      </c>
      <c r="E27" s="132" t="e">
        <f>VLOOKUP(Table14112[[#This Row],[Shop Order]],'EB212'!A:AA,7,FALSE)</f>
        <v>#N/A</v>
      </c>
      <c r="O27" s="19" t="s">
        <v>32</v>
      </c>
      <c r="P27" s="20"/>
      <c r="Q27" s="21"/>
      <c r="R27" s="255">
        <f>SUMIF('EB212'!$X$1:$X$39,O27,'EB212'!U$1:$U$39)</f>
        <v>0</v>
      </c>
    </row>
    <row r="28" spans="1:18" ht="15.75" thickBot="1" x14ac:dyDescent="0.3">
      <c r="A28" s="301"/>
      <c r="B28" s="130" t="e">
        <f>VLOOKUP(Table14112[[#This Row],[Shop Order]],'EB212'!A:AA,4,FALSE)</f>
        <v>#N/A</v>
      </c>
      <c r="C28" s="130" t="e">
        <f>VLOOKUP(Table14112[[#This Row],[Shop Order]],'EB212'!A:AA,5,FALSE)</f>
        <v>#N/A</v>
      </c>
      <c r="D28" s="131" t="e">
        <f>VLOOKUP(Table14112[[#This Row],[Shop Order]],'EB212'!A:AA,6,FALSE)</f>
        <v>#N/A</v>
      </c>
      <c r="E28" s="132" t="e">
        <f>VLOOKUP(Table14112[[#This Row],[Shop Order]],'EB212'!A:AA,7,FALSE)</f>
        <v>#N/A</v>
      </c>
      <c r="O28" s="19" t="s">
        <v>102</v>
      </c>
      <c r="P28" s="20"/>
      <c r="Q28" s="21"/>
      <c r="R28" s="255">
        <f>SUMIF('EB212'!$X$1:$X$39,O28,'EB212'!U$1:$U$39)</f>
        <v>0</v>
      </c>
    </row>
    <row r="29" spans="1:18" ht="15.75" thickBot="1" x14ac:dyDescent="0.3">
      <c r="A29" s="564" t="s">
        <v>49</v>
      </c>
      <c r="B29" s="565"/>
      <c r="C29" s="566"/>
      <c r="D29" s="75" t="e">
        <f>AVERAGE(D23:D26)</f>
        <v>#N/A</v>
      </c>
      <c r="E29" s="26"/>
      <c r="O29" s="19" t="s">
        <v>96</v>
      </c>
      <c r="P29" s="20"/>
      <c r="Q29" s="21"/>
      <c r="R29" s="255">
        <f>SUMIF('EB212'!$X$1:$X$39,O29,'EB212'!U$1:$U$39)</f>
        <v>0</v>
      </c>
    </row>
    <row r="30" spans="1:18" x14ac:dyDescent="0.25">
      <c r="O30" s="19" t="s">
        <v>42</v>
      </c>
      <c r="P30" s="20"/>
      <c r="Q30" s="21"/>
      <c r="R30" s="255">
        <f>SUMIF('EB212'!$X$1:$X$39,O30,'EB212'!U$1:$U$39)</f>
        <v>0</v>
      </c>
    </row>
    <row r="32" spans="1:18" x14ac:dyDescent="0.25">
      <c r="E32" s="23"/>
    </row>
    <row r="33" spans="5:5" ht="39.75" customHeight="1" x14ac:dyDescent="0.25">
      <c r="E33" s="23"/>
    </row>
    <row r="34" spans="5:5" ht="58.5" customHeight="1" x14ac:dyDescent="0.25">
      <c r="E34" s="23"/>
    </row>
  </sheetData>
  <autoFilter ref="O4:R4" xr:uid="{00000000-0009-0000-0000-000005000000}">
    <filterColumn colId="0" showButton="0"/>
    <filterColumn colId="1" showButton="0"/>
    <sortState xmlns:xlrd2="http://schemas.microsoft.com/office/spreadsheetml/2017/richdata2" ref="O5:R30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Z39"/>
  <sheetViews>
    <sheetView zoomScale="70" zoomScaleNormal="70" workbookViewId="0">
      <selection activeCell="V4" sqref="V4"/>
    </sheetView>
  </sheetViews>
  <sheetFormatPr defaultColWidth="9.140625" defaultRowHeight="15" x14ac:dyDescent="0.25"/>
  <cols>
    <col min="1" max="2" width="13.140625" style="41" customWidth="1"/>
    <col min="3" max="3" width="9.5703125" style="41" customWidth="1"/>
    <col min="4" max="4" width="10.140625" style="41" customWidth="1"/>
    <col min="5" max="5" width="7.42578125" style="41" bestFit="1" customWidth="1"/>
    <col min="6" max="6" width="10.28515625" style="41" bestFit="1" customWidth="1"/>
    <col min="7" max="7" width="12.85546875" style="13" customWidth="1"/>
    <col min="8" max="11" width="15.85546875" style="7" customWidth="1"/>
    <col min="12" max="12" width="15.85546875" style="8" customWidth="1"/>
    <col min="13" max="13" width="15.85546875" style="9" customWidth="1"/>
    <col min="14" max="15" width="15.85546875" style="41" customWidth="1"/>
    <col min="16" max="16" width="15.85546875" style="10" customWidth="1"/>
    <col min="17" max="20" width="15.85546875" style="12" customWidth="1"/>
    <col min="21" max="21" width="9.140625" style="12"/>
    <col min="22" max="22" width="11.140625" style="12" bestFit="1" customWidth="1"/>
    <col min="23" max="23" width="10.28515625" style="12" hidden="1" customWidth="1"/>
    <col min="24" max="24" width="37.42578125" style="41" customWidth="1"/>
    <col min="25" max="25" width="0.28515625" style="41" customWidth="1"/>
    <col min="26" max="26" width="49.28515625" style="41" bestFit="1" customWidth="1"/>
    <col min="27" max="16384" width="9.140625" style="41"/>
  </cols>
  <sheetData>
    <row r="1" spans="1:26" ht="90.75" thickBot="1" x14ac:dyDescent="0.3">
      <c r="A1" s="43" t="s">
        <v>22</v>
      </c>
      <c r="B1" s="43" t="s">
        <v>47</v>
      </c>
      <c r="C1" s="43" t="s">
        <v>52</v>
      </c>
      <c r="D1" s="43" t="s">
        <v>17</v>
      </c>
      <c r="E1" s="42" t="s">
        <v>16</v>
      </c>
      <c r="F1" s="44" t="s">
        <v>1</v>
      </c>
      <c r="G1" s="45" t="s">
        <v>23</v>
      </c>
      <c r="H1" s="46" t="s">
        <v>72</v>
      </c>
      <c r="I1" s="46" t="s">
        <v>73</v>
      </c>
      <c r="J1" s="46" t="s">
        <v>53</v>
      </c>
      <c r="K1" s="46" t="s">
        <v>58</v>
      </c>
      <c r="L1" s="46" t="s">
        <v>54</v>
      </c>
      <c r="M1" s="46" t="s">
        <v>59</v>
      </c>
      <c r="N1" s="46" t="s">
        <v>55</v>
      </c>
      <c r="O1" s="46" t="s">
        <v>60</v>
      </c>
      <c r="P1" s="46" t="s">
        <v>56</v>
      </c>
      <c r="Q1" s="46" t="s">
        <v>74</v>
      </c>
      <c r="R1" s="46" t="s">
        <v>57</v>
      </c>
      <c r="S1" s="46" t="s">
        <v>115</v>
      </c>
      <c r="T1" s="43" t="s">
        <v>41</v>
      </c>
      <c r="U1" s="43" t="s">
        <v>4</v>
      </c>
      <c r="V1" s="42" t="s">
        <v>2</v>
      </c>
      <c r="W1" s="79" t="s">
        <v>150</v>
      </c>
      <c r="X1" s="80" t="s">
        <v>20</v>
      </c>
      <c r="Y1" s="179" t="s">
        <v>4</v>
      </c>
      <c r="Z1" s="182" t="s">
        <v>6</v>
      </c>
    </row>
    <row r="2" spans="1:26" ht="15.75" thickBot="1" x14ac:dyDescent="0.3">
      <c r="A2" s="181">
        <v>1517972</v>
      </c>
      <c r="B2" s="181" t="s">
        <v>403</v>
      </c>
      <c r="C2" s="319">
        <v>384</v>
      </c>
      <c r="D2" s="319">
        <v>389</v>
      </c>
      <c r="E2" s="324">
        <v>370</v>
      </c>
      <c r="F2" s="325">
        <f>E2/D2</f>
        <v>0.95115681233933158</v>
      </c>
      <c r="G2" s="180">
        <v>45364</v>
      </c>
      <c r="H2" s="169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/>
      <c r="U2" s="85"/>
      <c r="V2" s="166"/>
      <c r="W2" s="166"/>
      <c r="X2" s="86" t="s">
        <v>75</v>
      </c>
      <c r="Y2" s="179" t="s">
        <v>4</v>
      </c>
      <c r="Z2" s="77" t="s">
        <v>70</v>
      </c>
    </row>
    <row r="3" spans="1:26" x14ac:dyDescent="0.25">
      <c r="A3" s="49"/>
      <c r="B3" s="50"/>
      <c r="C3" s="50"/>
      <c r="D3" s="50"/>
      <c r="E3" s="50"/>
      <c r="F3" s="50"/>
      <c r="G3" s="51"/>
      <c r="H3" s="5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59"/>
      <c r="U3" s="344">
        <f t="shared" ref="U3:U30" si="0">SUM(H3,J3,L3,N3,P3,R3,T3)</f>
        <v>0</v>
      </c>
      <c r="V3" s="183">
        <f>($U3)/$D$2</f>
        <v>0</v>
      </c>
      <c r="W3" s="193">
        <f>D2</f>
        <v>389</v>
      </c>
      <c r="X3" s="165" t="s">
        <v>15</v>
      </c>
      <c r="Y3" s="178">
        <f t="shared" ref="Y3:Y15" si="1">U3</f>
        <v>0</v>
      </c>
      <c r="Z3" s="95"/>
    </row>
    <row r="4" spans="1:26" x14ac:dyDescent="0.25">
      <c r="A4" s="52"/>
      <c r="B4" s="53"/>
      <c r="C4" s="53"/>
      <c r="D4" s="53"/>
      <c r="E4" s="53"/>
      <c r="F4" s="53"/>
      <c r="G4" s="54"/>
      <c r="H4" s="342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62">
        <v>1</v>
      </c>
      <c r="U4" s="343">
        <f t="shared" si="0"/>
        <v>1</v>
      </c>
      <c r="V4" s="183">
        <f>($U4)/$D$2</f>
        <v>2.5706940874035988E-3</v>
      </c>
      <c r="W4" s="193"/>
      <c r="X4" s="171" t="s">
        <v>43</v>
      </c>
      <c r="Y4" s="160"/>
      <c r="Z4" s="95"/>
    </row>
    <row r="5" spans="1:26" x14ac:dyDescent="0.25">
      <c r="A5" s="52"/>
      <c r="B5" s="53"/>
      <c r="C5" s="53"/>
      <c r="D5" s="53"/>
      <c r="E5" s="53"/>
      <c r="F5" s="53"/>
      <c r="G5" s="54"/>
      <c r="H5" s="60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1"/>
      <c r="U5" s="67">
        <f t="shared" si="0"/>
        <v>0</v>
      </c>
      <c r="V5" s="183">
        <f t="shared" ref="V5:V39" si="2">($U5)/$D$2</f>
        <v>0</v>
      </c>
      <c r="W5" s="193">
        <f>D2</f>
        <v>389</v>
      </c>
      <c r="X5" s="164" t="s">
        <v>5</v>
      </c>
      <c r="Y5" s="160">
        <f t="shared" si="1"/>
        <v>0</v>
      </c>
      <c r="Z5" s="126"/>
    </row>
    <row r="6" spans="1:26" x14ac:dyDescent="0.25">
      <c r="A6" s="52"/>
      <c r="B6" s="53"/>
      <c r="C6" s="53"/>
      <c r="D6" s="53"/>
      <c r="E6" s="55"/>
      <c r="F6" s="55"/>
      <c r="G6" s="54"/>
      <c r="H6" s="60">
        <v>1</v>
      </c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1"/>
      <c r="U6" s="67">
        <f t="shared" si="0"/>
        <v>1</v>
      </c>
      <c r="V6" s="183">
        <f t="shared" si="2"/>
        <v>2.5706940874035988E-3</v>
      </c>
      <c r="W6" s="193">
        <f>D2</f>
        <v>389</v>
      </c>
      <c r="X6" s="164" t="s">
        <v>13</v>
      </c>
      <c r="Y6" s="160">
        <f t="shared" si="1"/>
        <v>1</v>
      </c>
      <c r="Z6" s="78"/>
    </row>
    <row r="7" spans="1:26" x14ac:dyDescent="0.25">
      <c r="A7" s="52"/>
      <c r="B7" s="53"/>
      <c r="C7" s="53"/>
      <c r="D7" s="53"/>
      <c r="E7" s="55"/>
      <c r="F7" s="55"/>
      <c r="G7" s="54"/>
      <c r="H7" s="60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1"/>
      <c r="U7" s="67">
        <f t="shared" si="0"/>
        <v>0</v>
      </c>
      <c r="V7" s="183">
        <f t="shared" si="2"/>
        <v>0</v>
      </c>
      <c r="W7" s="193">
        <f>D2</f>
        <v>389</v>
      </c>
      <c r="X7" s="164" t="s">
        <v>14</v>
      </c>
      <c r="Y7" s="160">
        <f t="shared" si="1"/>
        <v>0</v>
      </c>
      <c r="Z7" s="78"/>
    </row>
    <row r="8" spans="1:26" x14ac:dyDescent="0.25">
      <c r="A8" s="52"/>
      <c r="B8" s="53"/>
      <c r="C8" s="53"/>
      <c r="D8" s="53"/>
      <c r="E8" s="55"/>
      <c r="F8" s="55"/>
      <c r="G8" s="54"/>
      <c r="H8" s="60">
        <v>2</v>
      </c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1"/>
      <c r="U8" s="67">
        <f t="shared" si="0"/>
        <v>2</v>
      </c>
      <c r="V8" s="183">
        <f t="shared" si="2"/>
        <v>5.1413881748071976E-3</v>
      </c>
      <c r="W8" s="193">
        <f>D2</f>
        <v>389</v>
      </c>
      <c r="X8" s="164" t="s">
        <v>30</v>
      </c>
      <c r="Y8" s="160">
        <f t="shared" si="1"/>
        <v>2</v>
      </c>
      <c r="Z8" s="126"/>
    </row>
    <row r="9" spans="1:26" x14ac:dyDescent="0.25">
      <c r="A9" s="52"/>
      <c r="B9" s="53"/>
      <c r="C9" s="53"/>
      <c r="D9" s="53"/>
      <c r="E9" s="55"/>
      <c r="F9" s="55"/>
      <c r="G9" s="54"/>
      <c r="H9" s="60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1"/>
      <c r="U9" s="67">
        <f t="shared" si="0"/>
        <v>0</v>
      </c>
      <c r="V9" s="183">
        <f t="shared" si="2"/>
        <v>0</v>
      </c>
      <c r="W9" s="193">
        <f>D2</f>
        <v>389</v>
      </c>
      <c r="X9" s="164" t="s">
        <v>31</v>
      </c>
      <c r="Y9" s="160">
        <f t="shared" si="1"/>
        <v>0</v>
      </c>
      <c r="Z9" s="126"/>
    </row>
    <row r="10" spans="1:26" x14ac:dyDescent="0.25">
      <c r="A10" s="52"/>
      <c r="B10" s="53"/>
      <c r="C10" s="53"/>
      <c r="D10" s="53"/>
      <c r="E10" s="55"/>
      <c r="F10" s="55"/>
      <c r="G10" s="54"/>
      <c r="H10" s="60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1"/>
      <c r="U10" s="67">
        <f t="shared" si="0"/>
        <v>0</v>
      </c>
      <c r="V10" s="183">
        <f t="shared" si="2"/>
        <v>0</v>
      </c>
      <c r="W10" s="193">
        <f>D2</f>
        <v>389</v>
      </c>
      <c r="X10" s="164" t="s">
        <v>155</v>
      </c>
      <c r="Y10" s="160">
        <f t="shared" si="1"/>
        <v>0</v>
      </c>
      <c r="Z10" s="126"/>
    </row>
    <row r="11" spans="1:26" x14ac:dyDescent="0.25">
      <c r="A11" s="52"/>
      <c r="B11" s="53"/>
      <c r="C11" s="53"/>
      <c r="D11" s="53"/>
      <c r="E11" s="55"/>
      <c r="F11" s="55"/>
      <c r="G11" s="54"/>
      <c r="H11" s="60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1"/>
      <c r="U11" s="67">
        <f t="shared" si="0"/>
        <v>0</v>
      </c>
      <c r="V11" s="183">
        <f t="shared" si="2"/>
        <v>0</v>
      </c>
      <c r="W11" s="193">
        <f>D2</f>
        <v>389</v>
      </c>
      <c r="X11" s="164" t="s">
        <v>29</v>
      </c>
      <c r="Y11" s="160">
        <f t="shared" si="1"/>
        <v>0</v>
      </c>
      <c r="Z11" s="126"/>
    </row>
    <row r="12" spans="1:26" x14ac:dyDescent="0.25">
      <c r="A12" s="52"/>
      <c r="B12" s="53"/>
      <c r="C12" s="53"/>
      <c r="D12" s="53"/>
      <c r="E12" s="55"/>
      <c r="F12" s="55"/>
      <c r="G12" s="54"/>
      <c r="H12" s="60">
        <v>2</v>
      </c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1">
        <v>1</v>
      </c>
      <c r="U12" s="67">
        <f t="shared" si="0"/>
        <v>3</v>
      </c>
      <c r="V12" s="183">
        <f t="shared" si="2"/>
        <v>7.7120822622107968E-3</v>
      </c>
      <c r="W12" s="193">
        <f>D2</f>
        <v>389</v>
      </c>
      <c r="X12" s="164" t="s">
        <v>0</v>
      </c>
      <c r="Y12" s="160">
        <f t="shared" si="1"/>
        <v>3</v>
      </c>
      <c r="Z12" s="78"/>
    </row>
    <row r="13" spans="1:26" x14ac:dyDescent="0.25">
      <c r="A13" s="52"/>
      <c r="B13" s="53"/>
      <c r="C13" s="53"/>
      <c r="D13" s="53"/>
      <c r="E13" s="55"/>
      <c r="F13" s="55"/>
      <c r="G13" s="54"/>
      <c r="H13" s="60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1"/>
      <c r="U13" s="67">
        <f t="shared" si="0"/>
        <v>0</v>
      </c>
      <c r="V13" s="183">
        <f t="shared" si="2"/>
        <v>0</v>
      </c>
      <c r="W13" s="193">
        <f>D2</f>
        <v>389</v>
      </c>
      <c r="X13" s="164" t="s">
        <v>11</v>
      </c>
      <c r="Y13" s="160">
        <f t="shared" si="1"/>
        <v>0</v>
      </c>
      <c r="Z13" s="78"/>
    </row>
    <row r="14" spans="1:26" x14ac:dyDescent="0.25">
      <c r="A14" s="52"/>
      <c r="B14" s="53"/>
      <c r="C14" s="53"/>
      <c r="D14" s="53"/>
      <c r="E14" s="55"/>
      <c r="F14" s="55"/>
      <c r="G14" s="54"/>
      <c r="H14" s="60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1"/>
      <c r="U14" s="67">
        <f t="shared" si="0"/>
        <v>0</v>
      </c>
      <c r="V14" s="183">
        <f t="shared" si="2"/>
        <v>0</v>
      </c>
      <c r="W14" s="193">
        <f>D2</f>
        <v>389</v>
      </c>
      <c r="X14" s="164" t="s">
        <v>33</v>
      </c>
      <c r="Y14" s="160">
        <f t="shared" si="1"/>
        <v>0</v>
      </c>
      <c r="Z14" s="126"/>
    </row>
    <row r="15" spans="1:26" x14ac:dyDescent="0.25">
      <c r="A15" s="52"/>
      <c r="B15" s="53"/>
      <c r="C15" s="53"/>
      <c r="D15" s="53"/>
      <c r="E15" s="55"/>
      <c r="F15" s="55"/>
      <c r="G15" s="54"/>
      <c r="H15" s="64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6"/>
      <c r="U15" s="159">
        <f t="shared" si="0"/>
        <v>0</v>
      </c>
      <c r="V15" s="183">
        <f t="shared" si="2"/>
        <v>0</v>
      </c>
      <c r="W15" s="193">
        <f>D2</f>
        <v>389</v>
      </c>
      <c r="X15" s="177" t="s">
        <v>19</v>
      </c>
      <c r="Y15" s="160">
        <f t="shared" si="1"/>
        <v>0</v>
      </c>
      <c r="Z15" s="78"/>
    </row>
    <row r="16" spans="1:26" x14ac:dyDescent="0.25">
      <c r="A16" s="52"/>
      <c r="B16" s="53"/>
      <c r="C16" s="53"/>
      <c r="D16" s="53"/>
      <c r="E16" s="55"/>
      <c r="F16" s="55"/>
      <c r="G16" s="56"/>
      <c r="H16" s="34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1"/>
      <c r="U16" s="67">
        <f t="shared" si="0"/>
        <v>0</v>
      </c>
      <c r="V16" s="183">
        <f t="shared" si="2"/>
        <v>0</v>
      </c>
      <c r="W16" s="193">
        <f>D2</f>
        <v>389</v>
      </c>
      <c r="X16" s="164" t="s">
        <v>37</v>
      </c>
      <c r="Y16" s="160"/>
      <c r="Z16" s="126"/>
    </row>
    <row r="17" spans="1:26" ht="15.75" thickBot="1" x14ac:dyDescent="0.3">
      <c r="A17" s="52"/>
      <c r="B17" s="53"/>
      <c r="C17" s="53"/>
      <c r="D17" s="53"/>
      <c r="E17" s="55"/>
      <c r="F17" s="55"/>
      <c r="G17" s="54"/>
      <c r="H17" s="176"/>
      <c r="I17" s="175"/>
      <c r="J17" s="175">
        <v>5</v>
      </c>
      <c r="K17" s="175"/>
      <c r="L17" s="175"/>
      <c r="M17" s="175"/>
      <c r="N17" s="175"/>
      <c r="O17" s="175"/>
      <c r="P17" s="175"/>
      <c r="Q17" s="175"/>
      <c r="R17" s="175"/>
      <c r="S17" s="175"/>
      <c r="T17" s="174"/>
      <c r="U17" s="173">
        <f t="shared" si="0"/>
        <v>5</v>
      </c>
      <c r="V17" s="245">
        <f t="shared" si="2"/>
        <v>1.2853470437017995E-2</v>
      </c>
      <c r="W17" s="194">
        <f>D2</f>
        <v>389</v>
      </c>
      <c r="X17" s="172" t="s">
        <v>27</v>
      </c>
      <c r="Y17" s="160">
        <f>U17</f>
        <v>5</v>
      </c>
      <c r="Z17" s="126"/>
    </row>
    <row r="18" spans="1:26" x14ac:dyDescent="0.25">
      <c r="A18" s="52"/>
      <c r="B18" s="53"/>
      <c r="C18" s="53"/>
      <c r="D18" s="53"/>
      <c r="E18" s="55"/>
      <c r="F18" s="55"/>
      <c r="G18" s="54"/>
      <c r="H18" s="58"/>
      <c r="I18" s="149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62"/>
      <c r="U18" s="67">
        <f t="shared" si="0"/>
        <v>0</v>
      </c>
      <c r="V18" s="183">
        <f t="shared" si="2"/>
        <v>0</v>
      </c>
      <c r="W18" s="195">
        <f>D2</f>
        <v>389</v>
      </c>
      <c r="X18" s="171" t="s">
        <v>10</v>
      </c>
      <c r="Y18" s="160"/>
      <c r="Z18" s="126"/>
    </row>
    <row r="19" spans="1:26" x14ac:dyDescent="0.25">
      <c r="A19" s="52"/>
      <c r="B19" s="53"/>
      <c r="C19" s="53"/>
      <c r="D19" s="53"/>
      <c r="E19" s="55"/>
      <c r="F19" s="55"/>
      <c r="G19" s="54"/>
      <c r="H19" s="60"/>
      <c r="I19" s="34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1"/>
      <c r="U19" s="67">
        <f t="shared" si="0"/>
        <v>0</v>
      </c>
      <c r="V19" s="183">
        <f t="shared" si="2"/>
        <v>0</v>
      </c>
      <c r="W19" s="193">
        <f>D2</f>
        <v>389</v>
      </c>
      <c r="X19" s="164" t="s">
        <v>28</v>
      </c>
      <c r="Y19" s="160">
        <f t="shared" ref="Y19:Y39" si="3">U19</f>
        <v>0</v>
      </c>
      <c r="Z19" s="78"/>
    </row>
    <row r="20" spans="1:26" x14ac:dyDescent="0.25">
      <c r="A20" s="52"/>
      <c r="B20" s="53"/>
      <c r="C20" s="53"/>
      <c r="D20" s="53"/>
      <c r="E20" s="55"/>
      <c r="F20" s="55"/>
      <c r="G20" s="54"/>
      <c r="H20" s="60"/>
      <c r="I20" s="34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1">
        <v>3</v>
      </c>
      <c r="U20" s="67">
        <f t="shared" si="0"/>
        <v>3</v>
      </c>
      <c r="V20" s="183">
        <f t="shared" si="2"/>
        <v>7.7120822622107968E-3</v>
      </c>
      <c r="W20" s="193">
        <f>D2</f>
        <v>389</v>
      </c>
      <c r="X20" s="164" t="s">
        <v>3</v>
      </c>
      <c r="Y20" s="160">
        <f t="shared" si="3"/>
        <v>3</v>
      </c>
      <c r="Z20" s="78"/>
    </row>
    <row r="21" spans="1:26" x14ac:dyDescent="0.25">
      <c r="A21" s="52"/>
      <c r="B21" s="53"/>
      <c r="C21" s="53"/>
      <c r="D21" s="53"/>
      <c r="E21" s="55"/>
      <c r="F21" s="55"/>
      <c r="G21" s="54"/>
      <c r="H21" s="60"/>
      <c r="I21" s="34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1"/>
      <c r="U21" s="67">
        <f t="shared" si="0"/>
        <v>0</v>
      </c>
      <c r="V21" s="183">
        <f t="shared" si="2"/>
        <v>0</v>
      </c>
      <c r="W21" s="193">
        <f>D2</f>
        <v>389</v>
      </c>
      <c r="X21" s="164" t="s">
        <v>7</v>
      </c>
      <c r="Y21" s="160">
        <f t="shared" si="3"/>
        <v>0</v>
      </c>
      <c r="Z21" s="105"/>
    </row>
    <row r="22" spans="1:26" x14ac:dyDescent="0.25">
      <c r="A22" s="52"/>
      <c r="B22" s="53"/>
      <c r="C22" s="53"/>
      <c r="D22" s="53"/>
      <c r="E22" s="55"/>
      <c r="F22" s="55"/>
      <c r="G22" s="54"/>
      <c r="H22" s="60"/>
      <c r="I22" s="34">
        <v>1</v>
      </c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1">
        <v>3</v>
      </c>
      <c r="U22" s="67">
        <f t="shared" si="0"/>
        <v>3</v>
      </c>
      <c r="V22" s="183">
        <f t="shared" si="2"/>
        <v>7.7120822622107968E-3</v>
      </c>
      <c r="W22" s="193">
        <f>D2</f>
        <v>389</v>
      </c>
      <c r="X22" s="164" t="s">
        <v>8</v>
      </c>
      <c r="Y22" s="160">
        <f t="shared" si="3"/>
        <v>3</v>
      </c>
      <c r="Z22" s="105"/>
    </row>
    <row r="23" spans="1:26" x14ac:dyDescent="0.25">
      <c r="A23" s="52"/>
      <c r="B23" s="53"/>
      <c r="C23" s="53"/>
      <c r="D23" s="53"/>
      <c r="E23" s="55"/>
      <c r="F23" s="55"/>
      <c r="G23" s="54"/>
      <c r="H23" s="60"/>
      <c r="I23" s="34">
        <v>1</v>
      </c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1"/>
      <c r="U23" s="67">
        <f t="shared" si="0"/>
        <v>0</v>
      </c>
      <c r="V23" s="183">
        <f>($U23)/$D$2</f>
        <v>0</v>
      </c>
      <c r="W23" s="193">
        <f>D2</f>
        <v>389</v>
      </c>
      <c r="X23" s="164" t="s">
        <v>77</v>
      </c>
      <c r="Y23" s="160">
        <f t="shared" si="3"/>
        <v>0</v>
      </c>
      <c r="Z23" s="126"/>
    </row>
    <row r="24" spans="1:26" x14ac:dyDescent="0.25">
      <c r="A24" s="52"/>
      <c r="B24" s="53"/>
      <c r="C24" s="53"/>
      <c r="D24" s="53"/>
      <c r="E24" s="55"/>
      <c r="F24" s="55"/>
      <c r="G24" s="54"/>
      <c r="H24" s="124"/>
      <c r="I24" s="69">
        <v>2</v>
      </c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1"/>
      <c r="U24" s="67">
        <f t="shared" si="0"/>
        <v>0</v>
      </c>
      <c r="V24" s="183">
        <f t="shared" si="2"/>
        <v>0</v>
      </c>
      <c r="W24" s="193">
        <f>D2</f>
        <v>389</v>
      </c>
      <c r="X24" s="164" t="s">
        <v>19</v>
      </c>
      <c r="Y24" s="160">
        <f t="shared" si="3"/>
        <v>0</v>
      </c>
      <c r="Z24" s="126" t="s">
        <v>404</v>
      </c>
    </row>
    <row r="25" spans="1:26" x14ac:dyDescent="0.25">
      <c r="A25" s="52"/>
      <c r="B25" s="53"/>
      <c r="C25" s="53"/>
      <c r="D25" s="53"/>
      <c r="E25" s="55"/>
      <c r="F25" s="55"/>
      <c r="G25" s="54"/>
      <c r="H25" s="60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1"/>
      <c r="U25" s="67">
        <f t="shared" si="0"/>
        <v>0</v>
      </c>
      <c r="V25" s="183">
        <f t="shared" si="2"/>
        <v>0</v>
      </c>
      <c r="W25" s="193">
        <f>D2</f>
        <v>389</v>
      </c>
      <c r="X25" s="164" t="s">
        <v>78</v>
      </c>
      <c r="Y25" s="160">
        <f t="shared" si="3"/>
        <v>0</v>
      </c>
      <c r="Z25" s="126" t="s">
        <v>410</v>
      </c>
    </row>
    <row r="26" spans="1:26" x14ac:dyDescent="0.25">
      <c r="A26" s="52"/>
      <c r="B26" s="53"/>
      <c r="C26" s="53"/>
      <c r="D26" s="53"/>
      <c r="E26" s="55"/>
      <c r="F26" s="55"/>
      <c r="G26" s="54"/>
      <c r="H26" s="60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1"/>
      <c r="U26" s="67">
        <f t="shared" si="0"/>
        <v>0</v>
      </c>
      <c r="V26" s="183">
        <f t="shared" si="2"/>
        <v>0</v>
      </c>
      <c r="W26" s="193">
        <f>D2</f>
        <v>389</v>
      </c>
      <c r="X26" s="164" t="s">
        <v>9</v>
      </c>
      <c r="Y26" s="160">
        <f t="shared" si="3"/>
        <v>0</v>
      </c>
      <c r="Z26" s="126"/>
    </row>
    <row r="27" spans="1:26" x14ac:dyDescent="0.25">
      <c r="A27" s="52"/>
      <c r="B27" s="53"/>
      <c r="C27" s="53"/>
      <c r="D27" s="53"/>
      <c r="E27" s="55"/>
      <c r="F27" s="55"/>
      <c r="G27" s="54"/>
      <c r="H27" s="60"/>
      <c r="I27" s="69">
        <v>3</v>
      </c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1">
        <v>1</v>
      </c>
      <c r="U27" s="67">
        <f t="shared" si="0"/>
        <v>1</v>
      </c>
      <c r="V27" s="183">
        <f t="shared" si="2"/>
        <v>2.5706940874035988E-3</v>
      </c>
      <c r="W27" s="193">
        <f>D2</f>
        <v>389</v>
      </c>
      <c r="X27" s="164" t="s">
        <v>12</v>
      </c>
      <c r="Y27" s="160">
        <f t="shared" si="3"/>
        <v>1</v>
      </c>
      <c r="Z27" s="126"/>
    </row>
    <row r="28" spans="1:26" x14ac:dyDescent="0.25">
      <c r="A28" s="52"/>
      <c r="B28" s="53"/>
      <c r="C28" s="53"/>
      <c r="D28" s="53"/>
      <c r="E28" s="55"/>
      <c r="F28" s="55"/>
      <c r="G28" s="54"/>
      <c r="H28" s="60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1"/>
      <c r="U28" s="67">
        <f t="shared" si="0"/>
        <v>0</v>
      </c>
      <c r="V28" s="183">
        <f t="shared" si="2"/>
        <v>0</v>
      </c>
      <c r="W28" s="193">
        <f>D2</f>
        <v>389</v>
      </c>
      <c r="X28" s="164" t="s">
        <v>92</v>
      </c>
      <c r="Y28" s="160">
        <f t="shared" si="3"/>
        <v>0</v>
      </c>
      <c r="Z28" s="78"/>
    </row>
    <row r="29" spans="1:26" x14ac:dyDescent="0.25">
      <c r="A29" s="52"/>
      <c r="B29" s="53"/>
      <c r="C29" s="53"/>
      <c r="D29" s="53"/>
      <c r="E29" s="55"/>
      <c r="F29" s="55"/>
      <c r="G29" s="54"/>
      <c r="H29" s="60"/>
      <c r="I29" s="69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1"/>
      <c r="U29" s="67">
        <f t="shared" si="0"/>
        <v>0</v>
      </c>
      <c r="V29" s="183">
        <f t="shared" si="2"/>
        <v>0</v>
      </c>
      <c r="W29" s="193">
        <f>D2</f>
        <v>389</v>
      </c>
      <c r="X29" s="164" t="s">
        <v>71</v>
      </c>
      <c r="Y29" s="160">
        <f t="shared" si="3"/>
        <v>0</v>
      </c>
      <c r="Z29" s="78"/>
    </row>
    <row r="30" spans="1:26" ht="15.75" thickBot="1" x14ac:dyDescent="0.3">
      <c r="A30" s="52"/>
      <c r="B30" s="53"/>
      <c r="C30" s="53"/>
      <c r="D30" s="53"/>
      <c r="E30" s="55"/>
      <c r="F30" s="55"/>
      <c r="G30" s="54"/>
      <c r="H30" s="64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6"/>
      <c r="U30" s="67">
        <f t="shared" si="0"/>
        <v>0</v>
      </c>
      <c r="V30" s="183">
        <f t="shared" si="2"/>
        <v>0</v>
      </c>
      <c r="W30" s="194">
        <f>D2</f>
        <v>389</v>
      </c>
      <c r="X30" s="170" t="s">
        <v>27</v>
      </c>
      <c r="Y30" s="160">
        <f t="shared" si="3"/>
        <v>0</v>
      </c>
      <c r="Z30" s="78"/>
    </row>
    <row r="31" spans="1:26" ht="15.75" thickBot="1" x14ac:dyDescent="0.3">
      <c r="A31" s="52"/>
      <c r="B31" s="53"/>
      <c r="C31" s="53"/>
      <c r="D31" s="53"/>
      <c r="E31" s="55"/>
      <c r="F31" s="55"/>
      <c r="G31" s="54"/>
      <c r="H31" s="169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7"/>
      <c r="U31" s="166"/>
      <c r="V31" s="166">
        <f t="shared" si="2"/>
        <v>0</v>
      </c>
      <c r="W31" s="235"/>
      <c r="X31" s="116" t="s">
        <v>81</v>
      </c>
      <c r="Y31" s="160">
        <f t="shared" si="3"/>
        <v>0</v>
      </c>
      <c r="Z31" s="78"/>
    </row>
    <row r="32" spans="1:26" x14ac:dyDescent="0.25">
      <c r="A32" s="52"/>
      <c r="B32" s="53"/>
      <c r="C32" s="53"/>
      <c r="D32" s="53"/>
      <c r="E32" s="55"/>
      <c r="F32" s="55"/>
      <c r="G32" s="56"/>
      <c r="H32" s="5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59"/>
      <c r="U32" s="71">
        <f>SUM(H32,J32,L32,N32,P32,R32,T32)</f>
        <v>0</v>
      </c>
      <c r="V32" s="183">
        <f t="shared" si="2"/>
        <v>0</v>
      </c>
      <c r="W32" s="193">
        <f>D2</f>
        <v>389</v>
      </c>
      <c r="X32" s="165" t="s">
        <v>82</v>
      </c>
      <c r="Y32" s="160">
        <f t="shared" si="3"/>
        <v>0</v>
      </c>
      <c r="Z32" s="126"/>
    </row>
    <row r="33" spans="1:26" x14ac:dyDescent="0.25">
      <c r="A33" s="52"/>
      <c r="B33" s="53"/>
      <c r="C33" s="53"/>
      <c r="D33" s="53"/>
      <c r="E33" s="55"/>
      <c r="F33" s="55"/>
      <c r="G33" s="56"/>
      <c r="H33" s="60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1"/>
      <c r="U33" s="67">
        <f t="shared" ref="U33:U38" si="4">SUM(H33,J33,L33,N33,P33,R33,T33)</f>
        <v>0</v>
      </c>
      <c r="V33" s="183">
        <f t="shared" si="2"/>
        <v>0</v>
      </c>
      <c r="W33" s="193">
        <f>D2</f>
        <v>389</v>
      </c>
      <c r="X33" s="164" t="s">
        <v>158</v>
      </c>
      <c r="Y33" s="160">
        <f t="shared" si="3"/>
        <v>0</v>
      </c>
      <c r="Z33" s="95"/>
    </row>
    <row r="34" spans="1:26" x14ac:dyDescent="0.25">
      <c r="A34" s="52"/>
      <c r="B34" s="53"/>
      <c r="C34" s="53"/>
      <c r="D34" s="53"/>
      <c r="E34" s="55"/>
      <c r="F34" s="55"/>
      <c r="G34" s="56"/>
      <c r="H34" s="60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1"/>
      <c r="U34" s="67">
        <f t="shared" si="4"/>
        <v>0</v>
      </c>
      <c r="V34" s="183">
        <f t="shared" si="2"/>
        <v>0</v>
      </c>
      <c r="W34" s="193">
        <f>D2</f>
        <v>389</v>
      </c>
      <c r="X34" s="164" t="s">
        <v>84</v>
      </c>
      <c r="Y34" s="160">
        <f t="shared" si="3"/>
        <v>0</v>
      </c>
      <c r="Z34" s="95"/>
    </row>
    <row r="35" spans="1:26" x14ac:dyDescent="0.25">
      <c r="A35" s="52"/>
      <c r="B35" s="53"/>
      <c r="C35" s="53"/>
      <c r="D35" s="53"/>
      <c r="E35" s="55"/>
      <c r="F35" s="55"/>
      <c r="G35" s="56"/>
      <c r="H35" s="60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1"/>
      <c r="U35" s="67">
        <f t="shared" si="4"/>
        <v>0</v>
      </c>
      <c r="V35" s="183">
        <f t="shared" si="2"/>
        <v>0</v>
      </c>
      <c r="W35" s="193">
        <f>D2</f>
        <v>389</v>
      </c>
      <c r="X35" s="164" t="s">
        <v>37</v>
      </c>
      <c r="Y35" s="160">
        <f t="shared" si="3"/>
        <v>0</v>
      </c>
      <c r="Z35" s="300" t="s">
        <v>180</v>
      </c>
    </row>
    <row r="36" spans="1:26" x14ac:dyDescent="0.25">
      <c r="A36" s="52"/>
      <c r="B36" s="53"/>
      <c r="C36" s="53"/>
      <c r="D36" s="53"/>
      <c r="E36" s="55"/>
      <c r="F36" s="55"/>
      <c r="G36" s="56"/>
      <c r="H36" s="60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1"/>
      <c r="U36" s="67">
        <f t="shared" si="4"/>
        <v>0</v>
      </c>
      <c r="V36" s="183">
        <f t="shared" si="2"/>
        <v>0</v>
      </c>
      <c r="W36" s="193">
        <f>D2</f>
        <v>389</v>
      </c>
      <c r="X36" s="164" t="s">
        <v>148</v>
      </c>
      <c r="Y36" s="160">
        <f t="shared" si="3"/>
        <v>0</v>
      </c>
      <c r="Z36" s="126"/>
    </row>
    <row r="37" spans="1:26" ht="15.75" x14ac:dyDescent="0.25">
      <c r="A37" s="52"/>
      <c r="B37" s="53"/>
      <c r="C37" s="53"/>
      <c r="D37" s="53"/>
      <c r="E37" s="55"/>
      <c r="F37" s="55"/>
      <c r="G37" s="56"/>
      <c r="H37" s="60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1"/>
      <c r="U37" s="67">
        <f t="shared" si="4"/>
        <v>0</v>
      </c>
      <c r="V37" s="183">
        <f t="shared" si="2"/>
        <v>0</v>
      </c>
      <c r="W37" s="193">
        <f>D2</f>
        <v>389</v>
      </c>
      <c r="X37" s="203" t="s">
        <v>35</v>
      </c>
      <c r="Y37" s="160">
        <f t="shared" si="3"/>
        <v>0</v>
      </c>
      <c r="Z37" s="78"/>
    </row>
    <row r="38" spans="1:26" ht="15.75" thickBot="1" x14ac:dyDescent="0.3">
      <c r="A38" s="155"/>
      <c r="B38" s="156"/>
      <c r="C38" s="156"/>
      <c r="D38" s="156"/>
      <c r="E38" s="157"/>
      <c r="F38" s="157"/>
      <c r="G38" s="163"/>
      <c r="H38" s="64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6"/>
      <c r="U38" s="159">
        <f t="shared" si="4"/>
        <v>0</v>
      </c>
      <c r="V38" s="245">
        <f t="shared" si="2"/>
        <v>0</v>
      </c>
      <c r="W38" s="194">
        <f>D2</f>
        <v>389</v>
      </c>
      <c r="X38" s="234" t="s">
        <v>71</v>
      </c>
      <c r="Y38" s="160">
        <f t="shared" si="3"/>
        <v>0</v>
      </c>
      <c r="Z38" s="162"/>
    </row>
    <row r="39" spans="1:26" ht="15.75" thickBot="1" x14ac:dyDescent="0.3">
      <c r="G39" s="47" t="s">
        <v>4</v>
      </c>
      <c r="H39" s="57">
        <f>SUM(H3:H38)</f>
        <v>5</v>
      </c>
      <c r="I39" s="57">
        <f t="shared" ref="I39:T39" si="5">SUM(I3:I38)</f>
        <v>7</v>
      </c>
      <c r="J39" s="57">
        <f t="shared" si="5"/>
        <v>5</v>
      </c>
      <c r="K39" s="57">
        <f t="shared" si="5"/>
        <v>0</v>
      </c>
      <c r="L39" s="57">
        <f t="shared" si="5"/>
        <v>0</v>
      </c>
      <c r="M39" s="57">
        <f t="shared" si="5"/>
        <v>0</v>
      </c>
      <c r="N39" s="57">
        <f t="shared" si="5"/>
        <v>0</v>
      </c>
      <c r="O39" s="57">
        <f t="shared" si="5"/>
        <v>0</v>
      </c>
      <c r="P39" s="57">
        <f t="shared" si="5"/>
        <v>0</v>
      </c>
      <c r="Q39" s="57">
        <f t="shared" si="5"/>
        <v>0</v>
      </c>
      <c r="R39" s="57">
        <f t="shared" si="5"/>
        <v>0</v>
      </c>
      <c r="S39" s="57">
        <f t="shared" si="5"/>
        <v>0</v>
      </c>
      <c r="T39" s="57">
        <f t="shared" si="5"/>
        <v>9</v>
      </c>
      <c r="U39" s="72">
        <f>SUM(H39,J39,L39,N39,P39,R39,T39)</f>
        <v>19</v>
      </c>
      <c r="V39" s="183">
        <f t="shared" si="2"/>
        <v>4.8843187660668377E-2</v>
      </c>
      <c r="W39" s="194">
        <f>D2</f>
        <v>389</v>
      </c>
      <c r="X39" s="161"/>
      <c r="Y39" s="160">
        <f t="shared" si="3"/>
        <v>19</v>
      </c>
      <c r="Z39" s="12" t="s">
        <v>100</v>
      </c>
    </row>
  </sheetData>
  <conditionalFormatting sqref="M40:M1048576">
    <cfRule type="cellIs" dxfId="187" priority="45" operator="greaterThan">
      <formula>0.2</formula>
    </cfRule>
  </conditionalFormatting>
  <conditionalFormatting sqref="V3:V30">
    <cfRule type="cellIs" dxfId="186" priority="7" operator="greaterThan">
      <formula>0.2</formula>
    </cfRule>
  </conditionalFormatting>
  <conditionalFormatting sqref="V2:W2">
    <cfRule type="cellIs" dxfId="185" priority="6" operator="greaterThan">
      <formula>0.2</formula>
    </cfRule>
  </conditionalFormatting>
  <conditionalFormatting sqref="V1">
    <cfRule type="cellIs" dxfId="184" priority="5" operator="greaterThan">
      <formula>0.2</formula>
    </cfRule>
  </conditionalFormatting>
  <conditionalFormatting sqref="W1">
    <cfRule type="cellIs" dxfId="183" priority="4" operator="greaterThan">
      <formula>0.2</formula>
    </cfRule>
  </conditionalFormatting>
  <conditionalFormatting sqref="V39">
    <cfRule type="cellIs" dxfId="182" priority="2" operator="greaterThan">
      <formula>0.2</formula>
    </cfRule>
  </conditionalFormatting>
  <conditionalFormatting sqref="V32:V39">
    <cfRule type="cellIs" dxfId="181" priority="1" operator="greaterThan">
      <formula>0.2</formula>
    </cfRule>
  </conditionalFormatting>
  <conditionalFormatting sqref="V32:V39">
    <cfRule type="colorScale" priority="3">
      <colorScale>
        <cfvo type="min"/>
        <cfvo type="max"/>
        <color rgb="FFFCFCFF"/>
        <color rgb="FFF8696B"/>
      </colorScale>
    </cfRule>
  </conditionalFormatting>
  <conditionalFormatting sqref="V3:V30">
    <cfRule type="colorScale" priority="8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3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pageSetUpPr fitToPage="1"/>
  </sheetPr>
  <dimension ref="A1:U34"/>
  <sheetViews>
    <sheetView showGridLines="0" zoomScaleNormal="100" workbookViewId="0">
      <selection activeCell="Q23" sqref="Q23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31" style="23" bestFit="1" customWidth="1"/>
    <col min="16" max="16" width="10.7109375" style="23" customWidth="1"/>
    <col min="17" max="17" width="10.85546875" style="23" customWidth="1"/>
    <col min="18" max="18" width="10.42578125" style="23" customWidth="1"/>
    <col min="19" max="16384" width="9.140625" style="23"/>
  </cols>
  <sheetData>
    <row r="1" spans="1:21" ht="54" customHeight="1" x14ac:dyDescent="0.25">
      <c r="A1" s="558" t="s">
        <v>294</v>
      </c>
      <c r="B1" s="558"/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  <c r="R1" s="558"/>
    </row>
    <row r="3" spans="1:21" ht="26.25" customHeight="1" x14ac:dyDescent="0.25">
      <c r="O3" s="559" t="s">
        <v>50</v>
      </c>
      <c r="P3" s="560"/>
      <c r="Q3" s="560"/>
      <c r="R3" s="560"/>
    </row>
    <row r="4" spans="1:21" x14ac:dyDescent="0.25">
      <c r="O4" s="561" t="s">
        <v>20</v>
      </c>
      <c r="P4" s="562"/>
      <c r="Q4" s="563"/>
      <c r="R4" s="30" t="s">
        <v>24</v>
      </c>
    </row>
    <row r="5" spans="1:21" x14ac:dyDescent="0.25">
      <c r="O5" s="19" t="s">
        <v>27</v>
      </c>
      <c r="P5" s="20"/>
      <c r="Q5" s="21"/>
      <c r="R5" s="255">
        <f>SUMIF('EB213'!$X$3:$X$38,O5,'EB213'!$U$3:$U$38)</f>
        <v>5</v>
      </c>
    </row>
    <row r="6" spans="1:21" x14ac:dyDescent="0.25">
      <c r="O6" s="19" t="s">
        <v>30</v>
      </c>
      <c r="P6" s="20"/>
      <c r="Q6" s="21"/>
      <c r="R6" s="255">
        <f>SUMIF('EB213'!$X$3:$X$38,O6,'EB213'!$U$3:$U$38)</f>
        <v>2</v>
      </c>
    </row>
    <row r="7" spans="1:21" x14ac:dyDescent="0.25">
      <c r="O7" s="19" t="s">
        <v>0</v>
      </c>
      <c r="P7" s="20"/>
      <c r="Q7" s="21"/>
      <c r="R7" s="255">
        <f>SUMIF('EB213'!$X$3:$X$38,O7,'EB213'!$U$3:$U$38)</f>
        <v>3</v>
      </c>
    </row>
    <row r="8" spans="1:21" x14ac:dyDescent="0.25">
      <c r="O8" s="19" t="s">
        <v>13</v>
      </c>
      <c r="P8" s="20"/>
      <c r="Q8" s="21"/>
      <c r="R8" s="255">
        <f>SUMIF('EB213'!$X$3:$X$38,O8,'EB213'!$U$3:$U$38)</f>
        <v>1</v>
      </c>
    </row>
    <row r="9" spans="1:21" x14ac:dyDescent="0.25">
      <c r="O9" s="19" t="s">
        <v>19</v>
      </c>
      <c r="P9" s="20"/>
      <c r="Q9" s="21"/>
      <c r="R9" s="255">
        <f>SUMIF('EB213'!$X$3:$X$38,O9,'EB213'!$U$3:$U$38)</f>
        <v>0</v>
      </c>
    </row>
    <row r="10" spans="1:21" ht="15.75" x14ac:dyDescent="0.25">
      <c r="O10" s="19" t="s">
        <v>5</v>
      </c>
      <c r="P10" s="20"/>
      <c r="Q10" s="21"/>
      <c r="R10" s="255">
        <f>SUMIF('EB213'!$X$3:$X$38,O10,'EB213'!$U$3:$U$38)</f>
        <v>0</v>
      </c>
      <c r="U10" s="125"/>
    </row>
    <row r="11" spans="1:21" x14ac:dyDescent="0.25">
      <c r="O11" s="19" t="s">
        <v>8</v>
      </c>
      <c r="P11" s="20"/>
      <c r="Q11" s="21"/>
      <c r="R11" s="255">
        <f>SUMIF('EB213'!$X$3:$X$38,O11,'EB213'!$U$3:$U$38)</f>
        <v>3</v>
      </c>
    </row>
    <row r="12" spans="1:21" x14ac:dyDescent="0.25">
      <c r="O12" s="19" t="s">
        <v>3</v>
      </c>
      <c r="P12" s="20"/>
      <c r="Q12" s="21"/>
      <c r="R12" s="255">
        <f>SUMIF('EB213'!$X$3:$X$38,O12,'EB213'!$U$3:$U$38)</f>
        <v>3</v>
      </c>
    </row>
    <row r="13" spans="1:21" x14ac:dyDescent="0.25">
      <c r="O13" s="19" t="s">
        <v>11</v>
      </c>
      <c r="P13" s="20"/>
      <c r="Q13" s="21"/>
      <c r="R13" s="255">
        <f>SUMIF('EB213'!$X$3:$X$38,O13,'EB213'!$U$3:$U$38)</f>
        <v>0</v>
      </c>
    </row>
    <row r="14" spans="1:21" x14ac:dyDescent="0.25">
      <c r="O14" s="19" t="s">
        <v>12</v>
      </c>
      <c r="P14" s="20"/>
      <c r="Q14" s="21"/>
      <c r="R14" s="255">
        <f>SUMIF('EB213'!$X$3:$X$38,O14,'EB213'!$U$3:$U$38)</f>
        <v>1</v>
      </c>
    </row>
    <row r="15" spans="1:21" x14ac:dyDescent="0.25">
      <c r="O15" s="19" t="s">
        <v>35</v>
      </c>
      <c r="P15" s="20"/>
      <c r="Q15" s="21"/>
      <c r="R15" s="255">
        <f>SUMIF('EB213'!$X$3:$X$38,O15,'EB213'!$U$3:$U$38)</f>
        <v>0</v>
      </c>
    </row>
    <row r="16" spans="1:21" x14ac:dyDescent="0.25">
      <c r="O16" s="19" t="s">
        <v>33</v>
      </c>
      <c r="P16" s="20"/>
      <c r="Q16" s="21"/>
      <c r="R16" s="255">
        <f>SUMIF('EB213'!$X$3:$X$38,O16,'EB213'!$U$3:$U$38)</f>
        <v>0</v>
      </c>
    </row>
    <row r="17" spans="1:18" x14ac:dyDescent="0.25">
      <c r="O17" s="19" t="s">
        <v>45</v>
      </c>
      <c r="P17" s="20"/>
      <c r="Q17" s="21"/>
      <c r="R17" s="255">
        <f>SUMIF('EB213'!$X$3:$X$38,O17,'EB213'!$U$3:$U$38)</f>
        <v>0</v>
      </c>
    </row>
    <row r="18" spans="1:18" x14ac:dyDescent="0.25">
      <c r="O18" s="19" t="s">
        <v>7</v>
      </c>
      <c r="P18" s="20"/>
      <c r="Q18" s="21"/>
      <c r="R18" s="255">
        <f>SUMIF('EB213'!$X$3:$X$38,O18,'EB213'!$U$3:$U$38)</f>
        <v>0</v>
      </c>
    </row>
    <row r="19" spans="1:18" x14ac:dyDescent="0.25">
      <c r="O19" s="19" t="s">
        <v>10</v>
      </c>
      <c r="P19" s="20"/>
      <c r="Q19" s="21"/>
      <c r="R19" s="255">
        <f>SUMIF('EB213'!$X$3:$X$38,O19,'EB213'!$U$3:$U$38)</f>
        <v>0</v>
      </c>
    </row>
    <row r="20" spans="1:18" ht="15.75" customHeight="1" x14ac:dyDescent="0.25">
      <c r="O20" s="19" t="s">
        <v>43</v>
      </c>
      <c r="P20" s="20"/>
      <c r="Q20" s="21"/>
      <c r="R20" s="255">
        <f>SUMIF('EB213'!$X$3:$X$38,O20,'EB213'!$U$3:$U$38)</f>
        <v>1</v>
      </c>
    </row>
    <row r="21" spans="1:18" ht="23.25" x14ac:dyDescent="0.25">
      <c r="A21" s="567" t="s">
        <v>62</v>
      </c>
      <c r="B21" s="568"/>
      <c r="C21" s="568"/>
      <c r="D21" s="568"/>
      <c r="E21" s="569"/>
      <c r="O21" s="19" t="s">
        <v>28</v>
      </c>
      <c r="P21" s="20"/>
      <c r="Q21" s="21"/>
      <c r="R21" s="255">
        <f>SUMIF('EB213'!$X$3:$X$38,O21,'EB213'!$U$3:$U$38)</f>
        <v>0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29" t="s">
        <v>23</v>
      </c>
      <c r="O22" s="19" t="s">
        <v>44</v>
      </c>
      <c r="P22" s="20"/>
      <c r="Q22" s="21"/>
      <c r="R22" s="255">
        <f>SUMIF('EB213'!$X$3:$X$38,O22,'EB213'!$U$3:$U$38)</f>
        <v>0</v>
      </c>
    </row>
    <row r="23" spans="1:18" x14ac:dyDescent="0.25">
      <c r="A23" s="301">
        <v>1517972</v>
      </c>
      <c r="B23" s="130">
        <f>VLOOKUP(Table141123[[#This Row],[Shop Order]],'EB213'!A:AA,4,FALSE)</f>
        <v>389</v>
      </c>
      <c r="C23" s="130">
        <f>VLOOKUP(Table141123[[#This Row],[Shop Order]],'EB213'!A:AA,5,FALSE)</f>
        <v>370</v>
      </c>
      <c r="D23" s="131">
        <f>VLOOKUP(Table141123[[#This Row],[Shop Order]],'EB213'!A:AA,6,FALSE)</f>
        <v>0.95115681233933158</v>
      </c>
      <c r="E23" s="327">
        <f>VLOOKUP(Table141123[[#This Row],[Shop Order]],'EB213'!A:AA,7,FALSE)</f>
        <v>45364</v>
      </c>
      <c r="O23" s="19" t="s">
        <v>31</v>
      </c>
      <c r="P23" s="20"/>
      <c r="Q23" s="21"/>
      <c r="R23" s="255">
        <f>SUMIF('EB213'!$X$3:$X$38,O23,'EB213'!$U$3:$U$38)</f>
        <v>0</v>
      </c>
    </row>
    <row r="24" spans="1:18" x14ac:dyDescent="0.25">
      <c r="A24" s="303"/>
      <c r="B24" s="130" t="e">
        <f>VLOOKUP(Table141123[[#This Row],[Shop Order]],'EB213'!A:AA,4,FALSE)</f>
        <v>#N/A</v>
      </c>
      <c r="C24" s="130" t="e">
        <f>VLOOKUP(Table141123[[#This Row],[Shop Order]],'EB213'!A:AA,5,FALSE)</f>
        <v>#N/A</v>
      </c>
      <c r="D24" s="131" t="e">
        <f>VLOOKUP(Table141123[[#This Row],[Shop Order]],'EB213'!A:AA,6,FALSE)</f>
        <v>#N/A</v>
      </c>
      <c r="E24" s="132" t="e">
        <f>VLOOKUP(Table141123[[#This Row],[Shop Order]],'EB213'!A:AA,7,FALSE)</f>
        <v>#N/A</v>
      </c>
      <c r="G24" s="24"/>
      <c r="O24" s="19" t="s">
        <v>113</v>
      </c>
      <c r="P24" s="20"/>
      <c r="Q24" s="21"/>
      <c r="R24" s="255">
        <f>SUMIF('EB213'!$X$3:$X$38,O24,'EB213'!$U$3:$U$38)</f>
        <v>0</v>
      </c>
    </row>
    <row r="25" spans="1:18" x14ac:dyDescent="0.25">
      <c r="A25" s="301"/>
      <c r="B25" s="130" t="e">
        <f>VLOOKUP(Table141123[[#This Row],[Shop Order]],'EB213'!A:AA,4,FALSE)</f>
        <v>#N/A</v>
      </c>
      <c r="C25" s="130" t="e">
        <f>VLOOKUP(Table141123[[#This Row],[Shop Order]],'EB213'!A:AA,5,FALSE)</f>
        <v>#N/A</v>
      </c>
      <c r="D25" s="131" t="e">
        <f>VLOOKUP(Table141123[[#This Row],[Shop Order]],'EB213'!A:AA,6,FALSE)</f>
        <v>#N/A</v>
      </c>
      <c r="E25" s="132" t="e">
        <f>VLOOKUP(Table141123[[#This Row],[Shop Order]],'EB213'!A:AA,7,FALSE)</f>
        <v>#N/A</v>
      </c>
      <c r="O25" s="19" t="s">
        <v>32</v>
      </c>
      <c r="P25" s="20"/>
      <c r="Q25" s="21"/>
      <c r="R25" s="255">
        <f>SUMIF('EB213'!$X$3:$X$38,O25,'EB213'!$U$3:$U$38)</f>
        <v>0</v>
      </c>
    </row>
    <row r="26" spans="1:18" x14ac:dyDescent="0.25">
      <c r="A26" s="301"/>
      <c r="B26" s="130" t="e">
        <f>VLOOKUP(Table141123[[#This Row],[Shop Order]],'EB213'!A:AA,4,FALSE)</f>
        <v>#N/A</v>
      </c>
      <c r="C26" s="130" t="e">
        <f>VLOOKUP(Table141123[[#This Row],[Shop Order]],'EB213'!A:AA,5,FALSE)</f>
        <v>#N/A</v>
      </c>
      <c r="D26" s="131" t="e">
        <f>VLOOKUP(Table141123[[#This Row],[Shop Order]],'EB213'!A:AA,6,FALSE)</f>
        <v>#N/A</v>
      </c>
      <c r="E26" s="132" t="e">
        <f>VLOOKUP(Table141123[[#This Row],[Shop Order]],'EB213'!A:AA,7,FALSE)</f>
        <v>#N/A</v>
      </c>
      <c r="O26" s="19" t="s">
        <v>102</v>
      </c>
      <c r="P26" s="20"/>
      <c r="Q26" s="21"/>
      <c r="R26" s="255">
        <f>SUMIF('EB213'!$X$3:$X$38,O26,'EB213'!$U$3:$U$38)</f>
        <v>0</v>
      </c>
    </row>
    <row r="27" spans="1:18" x14ac:dyDescent="0.25">
      <c r="A27" s="301"/>
      <c r="B27" s="130" t="e">
        <f>VLOOKUP(Table141123[[#This Row],[Shop Order]],'EB213'!A:AA,4,FALSE)</f>
        <v>#N/A</v>
      </c>
      <c r="C27" s="130" t="e">
        <f>VLOOKUP(Table141123[[#This Row],[Shop Order]],'EB213'!A:AA,5,FALSE)</f>
        <v>#N/A</v>
      </c>
      <c r="D27" s="131" t="e">
        <f>VLOOKUP(Table141123[[#This Row],[Shop Order]],'EB213'!A:AA,6,FALSE)</f>
        <v>#N/A</v>
      </c>
      <c r="E27" s="132" t="e">
        <f>VLOOKUP(Table141123[[#This Row],[Shop Order]],'EB213'!A:AA,7,FALSE)</f>
        <v>#N/A</v>
      </c>
      <c r="O27" s="19" t="s">
        <v>96</v>
      </c>
      <c r="P27" s="20"/>
      <c r="Q27" s="21"/>
      <c r="R27" s="255">
        <f>SUMIF('EB213'!$X$3:$X$38,O27,'EB213'!$U$3:$U$38)</f>
        <v>0</v>
      </c>
    </row>
    <row r="28" spans="1:18" ht="15.75" thickBot="1" x14ac:dyDescent="0.3">
      <c r="A28" s="301"/>
      <c r="B28" s="130" t="e">
        <f>VLOOKUP(Table141123[[#This Row],[Shop Order]],'EB213'!A:AA,4,FALSE)</f>
        <v>#N/A</v>
      </c>
      <c r="C28" s="130" t="e">
        <f>VLOOKUP(Table141123[[#This Row],[Shop Order]],'EB213'!A:AA,5,FALSE)</f>
        <v>#N/A</v>
      </c>
      <c r="D28" s="131" t="e">
        <f>VLOOKUP(Table141123[[#This Row],[Shop Order]],'EB213'!A:AA,6,FALSE)</f>
        <v>#N/A</v>
      </c>
      <c r="E28" s="132" t="e">
        <f>VLOOKUP(Table141123[[#This Row],[Shop Order]],'EB213'!A:AA,7,FALSE)</f>
        <v>#N/A</v>
      </c>
      <c r="O28" s="19" t="s">
        <v>42</v>
      </c>
      <c r="P28" s="20"/>
      <c r="Q28" s="21"/>
      <c r="R28" s="255">
        <f>SUMIF('EB213'!$X$3:$X$38,O28,'EB213'!$U$3:$U$38)</f>
        <v>0</v>
      </c>
    </row>
    <row r="29" spans="1:18" ht="15.75" thickBot="1" x14ac:dyDescent="0.3">
      <c r="A29" s="564" t="s">
        <v>49</v>
      </c>
      <c r="B29" s="565"/>
      <c r="C29" s="566"/>
      <c r="D29" s="75">
        <f>AVERAGE(D23:D23)</f>
        <v>0.95115681233933158</v>
      </c>
      <c r="E29" s="26"/>
      <c r="O29" s="19" t="s">
        <v>36</v>
      </c>
      <c r="P29" s="20"/>
      <c r="Q29" s="21"/>
      <c r="R29" s="255">
        <f>SUMIF('EB213'!$X$3:$X$38,O29,'EB213'!$U$3:$U$38)</f>
        <v>0</v>
      </c>
    </row>
    <row r="30" spans="1:18" x14ac:dyDescent="0.25">
      <c r="O30" s="19" t="s">
        <v>36</v>
      </c>
      <c r="P30" s="20"/>
      <c r="Q30" s="21"/>
      <c r="R30" s="255">
        <f ca="1">SUMIF('EB213'!$X$3:$X$38,O30,'EB213'!U28:$U$38)</f>
        <v>0</v>
      </c>
    </row>
    <row r="32" spans="1:18" x14ac:dyDescent="0.25">
      <c r="E32" s="23"/>
    </row>
    <row r="33" spans="5:5" ht="39.75" customHeight="1" x14ac:dyDescent="0.25">
      <c r="E33" s="23"/>
    </row>
    <row r="34" spans="5:5" ht="58.5" customHeight="1" x14ac:dyDescent="0.25">
      <c r="E34" s="23"/>
    </row>
  </sheetData>
  <autoFilter ref="O4:R4" xr:uid="{00000000-0009-0000-0000-000007000000}">
    <filterColumn colId="0" showButton="0"/>
    <filterColumn colId="1" showButton="0"/>
    <sortState xmlns:xlrd2="http://schemas.microsoft.com/office/spreadsheetml/2017/richdata2" ref="O5:R30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Y42"/>
  <sheetViews>
    <sheetView zoomScale="70" zoomScaleNormal="70" workbookViewId="0">
      <selection activeCell="M19" sqref="M18:M19"/>
    </sheetView>
  </sheetViews>
  <sheetFormatPr defaultColWidth="9.140625" defaultRowHeight="15" x14ac:dyDescent="0.25"/>
  <cols>
    <col min="1" max="2" width="13.140625" style="41" customWidth="1"/>
    <col min="3" max="3" width="9.5703125" style="41" customWidth="1"/>
    <col min="4" max="4" width="10.140625" style="41" customWidth="1"/>
    <col min="5" max="5" width="7.42578125" style="41" bestFit="1" customWidth="1"/>
    <col min="6" max="6" width="10.28515625" style="41" bestFit="1" customWidth="1"/>
    <col min="7" max="7" width="12.85546875" style="13" customWidth="1"/>
    <col min="8" max="11" width="15.85546875" style="7" customWidth="1"/>
    <col min="12" max="12" width="15.85546875" style="8" customWidth="1"/>
    <col min="13" max="13" width="15.85546875" style="9" customWidth="1"/>
    <col min="14" max="15" width="15.85546875" style="41" customWidth="1"/>
    <col min="16" max="16" width="15.85546875" style="10" customWidth="1"/>
    <col min="17" max="19" width="15.85546875" style="12" customWidth="1"/>
    <col min="20" max="20" width="9.140625" style="12"/>
    <col min="21" max="21" width="11.140625" style="12" bestFit="1" customWidth="1"/>
    <col min="22" max="22" width="10.28515625" style="12" hidden="1" customWidth="1"/>
    <col min="23" max="23" width="37.42578125" style="41" customWidth="1"/>
    <col min="24" max="24" width="0.28515625" style="41" customWidth="1"/>
    <col min="25" max="25" width="49.28515625" style="41" bestFit="1" customWidth="1"/>
    <col min="26" max="16384" width="9.140625" style="41"/>
  </cols>
  <sheetData>
    <row r="1" spans="1:25" s="23" customFormat="1" ht="75.75" thickBot="1" x14ac:dyDescent="0.3">
      <c r="A1" s="43" t="s">
        <v>22</v>
      </c>
      <c r="B1" s="43" t="s">
        <v>47</v>
      </c>
      <c r="C1" s="43" t="s">
        <v>52</v>
      </c>
      <c r="D1" s="43" t="s">
        <v>17</v>
      </c>
      <c r="E1" s="42" t="s">
        <v>16</v>
      </c>
      <c r="F1" s="44" t="s">
        <v>1</v>
      </c>
      <c r="G1" s="45" t="s">
        <v>23</v>
      </c>
      <c r="H1" s="46" t="s">
        <v>72</v>
      </c>
      <c r="I1" s="46" t="s">
        <v>73</v>
      </c>
      <c r="J1" s="46" t="s">
        <v>53</v>
      </c>
      <c r="K1" s="46" t="s">
        <v>58</v>
      </c>
      <c r="L1" s="46" t="s">
        <v>54</v>
      </c>
      <c r="M1" s="46" t="s">
        <v>59</v>
      </c>
      <c r="N1" s="46" t="s">
        <v>55</v>
      </c>
      <c r="O1" s="46" t="s">
        <v>60</v>
      </c>
      <c r="P1" s="46" t="s">
        <v>56</v>
      </c>
      <c r="Q1" s="46" t="s">
        <v>74</v>
      </c>
      <c r="R1" s="46" t="s">
        <v>115</v>
      </c>
      <c r="S1" s="43" t="s">
        <v>41</v>
      </c>
      <c r="T1" s="43" t="s">
        <v>4</v>
      </c>
      <c r="U1" s="42" t="s">
        <v>2</v>
      </c>
      <c r="V1" s="79" t="s">
        <v>150</v>
      </c>
      <c r="W1" s="80" t="s">
        <v>20</v>
      </c>
      <c r="X1" s="179" t="s">
        <v>4</v>
      </c>
      <c r="Y1" s="80" t="s">
        <v>6</v>
      </c>
    </row>
    <row r="2" spans="1:25" s="23" customFormat="1" ht="15" customHeight="1" thickBot="1" x14ac:dyDescent="0.3">
      <c r="A2" s="181">
        <v>1512025</v>
      </c>
      <c r="B2" s="181" t="s">
        <v>389</v>
      </c>
      <c r="C2" s="319">
        <v>384</v>
      </c>
      <c r="D2" s="319">
        <v>403</v>
      </c>
      <c r="E2" s="324">
        <v>379</v>
      </c>
      <c r="F2" s="325">
        <f>E2/D2</f>
        <v>0.94044665012406947</v>
      </c>
      <c r="G2" s="180">
        <v>45358</v>
      </c>
      <c r="H2" s="169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7"/>
      <c r="T2" s="85"/>
      <c r="U2" s="166"/>
      <c r="V2" s="166"/>
      <c r="W2" s="86" t="s">
        <v>75</v>
      </c>
      <c r="X2" s="179" t="s">
        <v>4</v>
      </c>
      <c r="Y2" s="77" t="s">
        <v>70</v>
      </c>
    </row>
    <row r="3" spans="1:25" s="23" customFormat="1" ht="15" customHeight="1" x14ac:dyDescent="0.25">
      <c r="A3" s="49"/>
      <c r="B3" s="50"/>
      <c r="C3" s="50"/>
      <c r="D3" s="50"/>
      <c r="E3" s="50"/>
      <c r="F3" s="50"/>
      <c r="G3" s="51"/>
      <c r="H3" s="58">
        <v>2</v>
      </c>
      <c r="I3" s="68"/>
      <c r="J3" s="68"/>
      <c r="K3" s="68"/>
      <c r="L3" s="68"/>
      <c r="M3" s="68"/>
      <c r="N3" s="68"/>
      <c r="O3" s="68"/>
      <c r="P3" s="68"/>
      <c r="Q3" s="68"/>
      <c r="R3" s="68"/>
      <c r="S3" s="59"/>
      <c r="T3" s="350">
        <f>SUM(H3,J3,L3,N3,P3,S3)</f>
        <v>2</v>
      </c>
      <c r="U3" s="183">
        <f t="shared" ref="U3:U30" si="0">($T3)/$D$2</f>
        <v>4.9627791563275434E-3</v>
      </c>
      <c r="V3" s="193">
        <f>D2</f>
        <v>403</v>
      </c>
      <c r="W3" s="165" t="s">
        <v>15</v>
      </c>
      <c r="X3" s="178">
        <f t="shared" ref="X3:X15" si="1">T3</f>
        <v>2</v>
      </c>
      <c r="Y3" s="95"/>
    </row>
    <row r="4" spans="1:25" s="23" customFormat="1" ht="15" customHeight="1" x14ac:dyDescent="0.25">
      <c r="A4" s="52"/>
      <c r="B4" s="53"/>
      <c r="C4" s="53"/>
      <c r="D4" s="53"/>
      <c r="E4" s="53"/>
      <c r="F4" s="53"/>
      <c r="G4" s="54"/>
      <c r="H4" s="342"/>
      <c r="I4" s="70"/>
      <c r="J4" s="70"/>
      <c r="K4" s="70"/>
      <c r="L4" s="70"/>
      <c r="M4" s="70"/>
      <c r="N4" s="70"/>
      <c r="O4" s="70"/>
      <c r="P4" s="70"/>
      <c r="Q4" s="70"/>
      <c r="R4" s="70"/>
      <c r="S4" s="62">
        <v>5</v>
      </c>
      <c r="T4" s="67">
        <f t="shared" ref="T4:T29" si="2">SUM(H4,J4,L4,N4,P4,S4)</f>
        <v>5</v>
      </c>
      <c r="U4" s="183">
        <f t="shared" si="0"/>
        <v>1.2406947890818859E-2</v>
      </c>
      <c r="V4" s="193"/>
      <c r="W4" s="171" t="s">
        <v>43</v>
      </c>
      <c r="X4" s="160"/>
      <c r="Y4" s="95"/>
    </row>
    <row r="5" spans="1:25" s="23" customFormat="1" x14ac:dyDescent="0.25">
      <c r="A5" s="52"/>
      <c r="B5" s="53"/>
      <c r="C5" s="53"/>
      <c r="D5" s="53"/>
      <c r="E5" s="53"/>
      <c r="F5" s="53"/>
      <c r="G5" s="54"/>
      <c r="H5" s="60"/>
      <c r="I5" s="69"/>
      <c r="J5" s="69"/>
      <c r="K5" s="69"/>
      <c r="L5" s="69"/>
      <c r="M5" s="69"/>
      <c r="N5" s="69"/>
      <c r="O5" s="69"/>
      <c r="P5" s="69"/>
      <c r="Q5" s="69"/>
      <c r="R5" s="69"/>
      <c r="S5" s="61"/>
      <c r="T5" s="67">
        <f t="shared" si="2"/>
        <v>0</v>
      </c>
      <c r="U5" s="183">
        <f t="shared" si="0"/>
        <v>0</v>
      </c>
      <c r="V5" s="193">
        <f>D2</f>
        <v>403</v>
      </c>
      <c r="W5" s="164" t="s">
        <v>5</v>
      </c>
      <c r="X5" s="160">
        <f t="shared" si="1"/>
        <v>0</v>
      </c>
      <c r="Y5" s="126"/>
    </row>
    <row r="6" spans="1:25" s="23" customFormat="1" x14ac:dyDescent="0.25">
      <c r="A6" s="52"/>
      <c r="B6" s="53"/>
      <c r="C6" s="53"/>
      <c r="D6" s="53"/>
      <c r="E6" s="55"/>
      <c r="F6" s="55"/>
      <c r="G6" s="54"/>
      <c r="H6" s="60">
        <v>11</v>
      </c>
      <c r="I6" s="69"/>
      <c r="J6" s="69"/>
      <c r="K6" s="69"/>
      <c r="L6" s="69"/>
      <c r="M6" s="69"/>
      <c r="N6" s="69"/>
      <c r="O6" s="69"/>
      <c r="P6" s="69"/>
      <c r="Q6" s="69"/>
      <c r="R6" s="69"/>
      <c r="S6" s="61">
        <v>1</v>
      </c>
      <c r="T6" s="67">
        <f t="shared" si="2"/>
        <v>12</v>
      </c>
      <c r="U6" s="183">
        <f t="shared" si="0"/>
        <v>2.9776674937965261E-2</v>
      </c>
      <c r="V6" s="193">
        <f>D2</f>
        <v>403</v>
      </c>
      <c r="W6" s="164" t="s">
        <v>13</v>
      </c>
      <c r="X6" s="160">
        <f t="shared" si="1"/>
        <v>12</v>
      </c>
      <c r="Y6" s="78"/>
    </row>
    <row r="7" spans="1:25" s="23" customFormat="1" x14ac:dyDescent="0.25">
      <c r="A7" s="52"/>
      <c r="B7" s="53"/>
      <c r="C7" s="53"/>
      <c r="D7" s="53"/>
      <c r="E7" s="55"/>
      <c r="F7" s="55"/>
      <c r="G7" s="54"/>
      <c r="H7" s="60"/>
      <c r="I7" s="69"/>
      <c r="J7" s="69"/>
      <c r="K7" s="69"/>
      <c r="L7" s="69"/>
      <c r="M7" s="69"/>
      <c r="N7" s="69"/>
      <c r="O7" s="69"/>
      <c r="P7" s="69"/>
      <c r="Q7" s="69"/>
      <c r="R7" s="69"/>
      <c r="S7" s="61"/>
      <c r="T7" s="67">
        <f t="shared" si="2"/>
        <v>0</v>
      </c>
      <c r="U7" s="183">
        <f t="shared" si="0"/>
        <v>0</v>
      </c>
      <c r="V7" s="193">
        <f>D2</f>
        <v>403</v>
      </c>
      <c r="W7" s="164" t="s">
        <v>14</v>
      </c>
      <c r="X7" s="160">
        <f t="shared" si="1"/>
        <v>0</v>
      </c>
      <c r="Y7" s="78"/>
    </row>
    <row r="8" spans="1:25" s="23" customFormat="1" x14ac:dyDescent="0.25">
      <c r="A8" s="52"/>
      <c r="B8" s="53"/>
      <c r="C8" s="53"/>
      <c r="D8" s="53"/>
      <c r="E8" s="55"/>
      <c r="F8" s="55"/>
      <c r="G8" s="54"/>
      <c r="H8" s="60"/>
      <c r="I8" s="69"/>
      <c r="J8" s="69"/>
      <c r="K8" s="69"/>
      <c r="L8" s="69"/>
      <c r="M8" s="69"/>
      <c r="N8" s="69"/>
      <c r="O8" s="69"/>
      <c r="P8" s="69"/>
      <c r="Q8" s="69"/>
      <c r="R8" s="69"/>
      <c r="S8" s="61"/>
      <c r="T8" s="67">
        <f t="shared" si="2"/>
        <v>0</v>
      </c>
      <c r="U8" s="183">
        <f t="shared" si="0"/>
        <v>0</v>
      </c>
      <c r="V8" s="193">
        <f>D2</f>
        <v>403</v>
      </c>
      <c r="W8" s="164" t="s">
        <v>30</v>
      </c>
      <c r="X8" s="160">
        <f t="shared" si="1"/>
        <v>0</v>
      </c>
      <c r="Y8" s="126"/>
    </row>
    <row r="9" spans="1:25" s="23" customFormat="1" x14ac:dyDescent="0.25">
      <c r="A9" s="52"/>
      <c r="B9" s="53"/>
      <c r="C9" s="53"/>
      <c r="D9" s="53"/>
      <c r="E9" s="55"/>
      <c r="F9" s="55"/>
      <c r="G9" s="54"/>
      <c r="H9" s="60">
        <v>1</v>
      </c>
      <c r="I9" s="69"/>
      <c r="J9" s="69"/>
      <c r="K9" s="69"/>
      <c r="L9" s="69"/>
      <c r="M9" s="69"/>
      <c r="N9" s="69"/>
      <c r="O9" s="69"/>
      <c r="P9" s="69"/>
      <c r="Q9" s="69"/>
      <c r="R9" s="69"/>
      <c r="S9" s="61"/>
      <c r="T9" s="67">
        <f t="shared" si="2"/>
        <v>1</v>
      </c>
      <c r="U9" s="183">
        <f t="shared" si="0"/>
        <v>2.4813895781637717E-3</v>
      </c>
      <c r="V9" s="193">
        <f>D2</f>
        <v>403</v>
      </c>
      <c r="W9" s="164" t="s">
        <v>31</v>
      </c>
      <c r="X9" s="160">
        <f t="shared" si="1"/>
        <v>1</v>
      </c>
      <c r="Y9" s="264" t="s">
        <v>392</v>
      </c>
    </row>
    <row r="10" spans="1:25" s="23" customFormat="1" x14ac:dyDescent="0.25">
      <c r="A10" s="52"/>
      <c r="B10" s="53"/>
      <c r="C10" s="53"/>
      <c r="D10" s="53"/>
      <c r="E10" s="55"/>
      <c r="F10" s="55"/>
      <c r="G10" s="54"/>
      <c r="H10" s="60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1"/>
      <c r="T10" s="67">
        <f t="shared" si="2"/>
        <v>0</v>
      </c>
      <c r="U10" s="183">
        <f t="shared" si="0"/>
        <v>0</v>
      </c>
      <c r="V10" s="193">
        <f>D2</f>
        <v>403</v>
      </c>
      <c r="W10" s="164" t="s">
        <v>35</v>
      </c>
      <c r="X10" s="160">
        <f t="shared" si="1"/>
        <v>0</v>
      </c>
      <c r="Y10" s="126"/>
    </row>
    <row r="11" spans="1:25" s="23" customFormat="1" x14ac:dyDescent="0.25">
      <c r="A11" s="52"/>
      <c r="B11" s="53"/>
      <c r="C11" s="53"/>
      <c r="D11" s="53"/>
      <c r="E11" s="55"/>
      <c r="F11" s="55"/>
      <c r="G11" s="54"/>
      <c r="H11" s="60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1"/>
      <c r="T11" s="67">
        <f t="shared" si="2"/>
        <v>0</v>
      </c>
      <c r="U11" s="183">
        <f t="shared" si="0"/>
        <v>0</v>
      </c>
      <c r="V11" s="193">
        <f>D2</f>
        <v>403</v>
      </c>
      <c r="W11" s="164" t="s">
        <v>29</v>
      </c>
      <c r="X11" s="160">
        <f t="shared" si="1"/>
        <v>0</v>
      </c>
      <c r="Y11" s="126"/>
    </row>
    <row r="12" spans="1:25" s="23" customFormat="1" x14ac:dyDescent="0.25">
      <c r="A12" s="52"/>
      <c r="B12" s="53"/>
      <c r="C12" s="53"/>
      <c r="D12" s="53"/>
      <c r="E12" s="55"/>
      <c r="F12" s="55"/>
      <c r="G12" s="54"/>
      <c r="H12" s="60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1"/>
      <c r="T12" s="67">
        <f t="shared" si="2"/>
        <v>0</v>
      </c>
      <c r="U12" s="183">
        <f t="shared" si="0"/>
        <v>0</v>
      </c>
      <c r="V12" s="193">
        <f>D2</f>
        <v>403</v>
      </c>
      <c r="W12" s="164" t="s">
        <v>0</v>
      </c>
      <c r="X12" s="160">
        <f t="shared" si="1"/>
        <v>0</v>
      </c>
      <c r="Y12" s="126"/>
    </row>
    <row r="13" spans="1:25" s="23" customFormat="1" x14ac:dyDescent="0.25">
      <c r="A13" s="52"/>
      <c r="B13" s="53"/>
      <c r="C13" s="53"/>
      <c r="D13" s="53"/>
      <c r="E13" s="55"/>
      <c r="F13" s="55"/>
      <c r="G13" s="54"/>
      <c r="H13" s="60">
        <v>2</v>
      </c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1">
        <v>6</v>
      </c>
      <c r="T13" s="67">
        <f t="shared" si="2"/>
        <v>8</v>
      </c>
      <c r="U13" s="183">
        <f t="shared" si="0"/>
        <v>1.9851116625310174E-2</v>
      </c>
      <c r="V13" s="193">
        <f>D2</f>
        <v>403</v>
      </c>
      <c r="W13" s="164" t="s">
        <v>11</v>
      </c>
      <c r="X13" s="160">
        <f t="shared" si="1"/>
        <v>8</v>
      </c>
      <c r="Y13" s="78"/>
    </row>
    <row r="14" spans="1:25" s="23" customFormat="1" x14ac:dyDescent="0.25">
      <c r="A14" s="52"/>
      <c r="B14" s="53"/>
      <c r="C14" s="53"/>
      <c r="D14" s="53"/>
      <c r="E14" s="55"/>
      <c r="F14" s="55"/>
      <c r="G14" s="54"/>
      <c r="H14" s="60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1"/>
      <c r="T14" s="67">
        <f t="shared" si="2"/>
        <v>0</v>
      </c>
      <c r="U14" s="183">
        <f t="shared" si="0"/>
        <v>0</v>
      </c>
      <c r="V14" s="193">
        <f>D2</f>
        <v>403</v>
      </c>
      <c r="W14" s="164" t="s">
        <v>33</v>
      </c>
      <c r="X14" s="160">
        <f t="shared" si="1"/>
        <v>0</v>
      </c>
      <c r="Y14" s="126"/>
    </row>
    <row r="15" spans="1:25" s="23" customFormat="1" x14ac:dyDescent="0.25">
      <c r="A15" s="52"/>
      <c r="B15" s="53"/>
      <c r="C15" s="53"/>
      <c r="D15" s="53"/>
      <c r="E15" s="55"/>
      <c r="F15" s="55"/>
      <c r="G15" s="54"/>
      <c r="H15" s="64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6"/>
      <c r="T15" s="67">
        <f t="shared" si="2"/>
        <v>0</v>
      </c>
      <c r="U15" s="183">
        <f t="shared" si="0"/>
        <v>0</v>
      </c>
      <c r="V15" s="193">
        <f>D2</f>
        <v>403</v>
      </c>
      <c r="W15" s="177" t="s">
        <v>19</v>
      </c>
      <c r="X15" s="160">
        <f t="shared" si="1"/>
        <v>0</v>
      </c>
      <c r="Y15" s="78"/>
    </row>
    <row r="16" spans="1:25" s="23" customFormat="1" x14ac:dyDescent="0.25">
      <c r="A16" s="52"/>
      <c r="B16" s="53"/>
      <c r="C16" s="53"/>
      <c r="D16" s="53"/>
      <c r="E16" s="55"/>
      <c r="F16" s="55"/>
      <c r="G16" s="56"/>
      <c r="H16" s="34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1"/>
      <c r="T16" s="67">
        <f t="shared" si="2"/>
        <v>0</v>
      </c>
      <c r="U16" s="183">
        <f t="shared" si="0"/>
        <v>0</v>
      </c>
      <c r="V16" s="193">
        <f>D2</f>
        <v>403</v>
      </c>
      <c r="W16" s="164" t="s">
        <v>37</v>
      </c>
      <c r="X16" s="160"/>
      <c r="Y16" s="126"/>
    </row>
    <row r="17" spans="1:25" s="23" customFormat="1" ht="15.75" thickBot="1" x14ac:dyDescent="0.3">
      <c r="A17" s="52"/>
      <c r="B17" s="53"/>
      <c r="C17" s="53"/>
      <c r="D17" s="53"/>
      <c r="E17" s="55"/>
      <c r="F17" s="55"/>
      <c r="G17" s="54"/>
      <c r="H17" s="176"/>
      <c r="I17" s="175"/>
      <c r="J17" s="175">
        <v>4</v>
      </c>
      <c r="K17" s="175"/>
      <c r="L17" s="175"/>
      <c r="M17" s="175"/>
      <c r="N17" s="175"/>
      <c r="O17" s="175"/>
      <c r="P17" s="175"/>
      <c r="Q17" s="175"/>
      <c r="R17" s="175"/>
      <c r="S17" s="174"/>
      <c r="T17" s="173">
        <f t="shared" si="2"/>
        <v>4</v>
      </c>
      <c r="U17" s="245">
        <f t="shared" si="0"/>
        <v>9.9255583126550868E-3</v>
      </c>
      <c r="V17" s="194">
        <f>D2</f>
        <v>403</v>
      </c>
      <c r="W17" s="172" t="s">
        <v>27</v>
      </c>
      <c r="X17" s="160">
        <f>T17</f>
        <v>4</v>
      </c>
      <c r="Y17" s="126"/>
    </row>
    <row r="18" spans="1:25" s="23" customFormat="1" x14ac:dyDescent="0.25">
      <c r="A18" s="52"/>
      <c r="B18" s="53"/>
      <c r="C18" s="53"/>
      <c r="D18" s="53"/>
      <c r="E18" s="55"/>
      <c r="F18" s="55"/>
      <c r="G18" s="54"/>
      <c r="H18" s="58"/>
      <c r="I18" s="149"/>
      <c r="J18" s="70"/>
      <c r="K18" s="70"/>
      <c r="L18" s="70"/>
      <c r="M18" s="70"/>
      <c r="N18" s="70"/>
      <c r="O18" s="70"/>
      <c r="P18" s="70"/>
      <c r="Q18" s="70"/>
      <c r="R18" s="70"/>
      <c r="S18" s="62"/>
      <c r="T18" s="71">
        <f t="shared" si="2"/>
        <v>0</v>
      </c>
      <c r="U18" s="183">
        <f t="shared" si="0"/>
        <v>0</v>
      </c>
      <c r="V18" s="195">
        <f>D2</f>
        <v>403</v>
      </c>
      <c r="W18" s="171" t="s">
        <v>10</v>
      </c>
      <c r="X18" s="160"/>
      <c r="Y18" s="126"/>
    </row>
    <row r="19" spans="1:25" s="23" customFormat="1" x14ac:dyDescent="0.25">
      <c r="A19" s="52"/>
      <c r="B19" s="53"/>
      <c r="C19" s="53"/>
      <c r="D19" s="53"/>
      <c r="E19" s="55"/>
      <c r="F19" s="55"/>
      <c r="G19" s="54"/>
      <c r="H19" s="60"/>
      <c r="I19" s="34"/>
      <c r="J19" s="69"/>
      <c r="K19" s="69"/>
      <c r="L19" s="69"/>
      <c r="M19" s="69"/>
      <c r="N19" s="69"/>
      <c r="O19" s="69"/>
      <c r="P19" s="69"/>
      <c r="Q19" s="69"/>
      <c r="R19" s="69"/>
      <c r="S19" s="61"/>
      <c r="T19" s="67">
        <f t="shared" si="2"/>
        <v>0</v>
      </c>
      <c r="U19" s="183">
        <f t="shared" si="0"/>
        <v>0</v>
      </c>
      <c r="V19" s="193">
        <f>D2</f>
        <v>403</v>
      </c>
      <c r="W19" s="164" t="s">
        <v>28</v>
      </c>
      <c r="X19" s="160">
        <f t="shared" ref="X19:X33" si="3">T19</f>
        <v>0</v>
      </c>
      <c r="Y19" s="78"/>
    </row>
    <row r="20" spans="1:25" s="23" customFormat="1" x14ac:dyDescent="0.25">
      <c r="A20" s="52"/>
      <c r="B20" s="53"/>
      <c r="C20" s="53"/>
      <c r="D20" s="53"/>
      <c r="E20" s="55"/>
      <c r="F20" s="55"/>
      <c r="G20" s="54"/>
      <c r="H20" s="60"/>
      <c r="I20" s="34"/>
      <c r="J20" s="69"/>
      <c r="K20" s="69"/>
      <c r="L20" s="69"/>
      <c r="M20" s="69"/>
      <c r="N20" s="69"/>
      <c r="O20" s="69"/>
      <c r="P20" s="69"/>
      <c r="Q20" s="69"/>
      <c r="R20" s="69"/>
      <c r="S20" s="61">
        <v>2</v>
      </c>
      <c r="T20" s="67">
        <f t="shared" si="2"/>
        <v>2</v>
      </c>
      <c r="U20" s="183">
        <f t="shared" si="0"/>
        <v>4.9627791563275434E-3</v>
      </c>
      <c r="V20" s="193">
        <f>D2</f>
        <v>403</v>
      </c>
      <c r="W20" s="164" t="s">
        <v>3</v>
      </c>
      <c r="X20" s="160">
        <f t="shared" si="3"/>
        <v>2</v>
      </c>
      <c r="Y20" s="78"/>
    </row>
    <row r="21" spans="1:25" s="23" customFormat="1" x14ac:dyDescent="0.25">
      <c r="A21" s="52"/>
      <c r="B21" s="53"/>
      <c r="C21" s="53"/>
      <c r="D21" s="53"/>
      <c r="E21" s="55"/>
      <c r="F21" s="55"/>
      <c r="G21" s="54"/>
      <c r="H21" s="60"/>
      <c r="I21" s="34"/>
      <c r="J21" s="69"/>
      <c r="K21" s="69"/>
      <c r="L21" s="69"/>
      <c r="M21" s="69"/>
      <c r="N21" s="69"/>
      <c r="O21" s="69"/>
      <c r="P21" s="69"/>
      <c r="Q21" s="69"/>
      <c r="R21" s="69"/>
      <c r="S21" s="61"/>
      <c r="T21" s="67">
        <f t="shared" si="2"/>
        <v>0</v>
      </c>
      <c r="U21" s="183">
        <f t="shared" si="0"/>
        <v>0</v>
      </c>
      <c r="V21" s="193">
        <f>D2</f>
        <v>403</v>
      </c>
      <c r="W21" s="164" t="s">
        <v>7</v>
      </c>
      <c r="X21" s="160">
        <f t="shared" si="3"/>
        <v>0</v>
      </c>
      <c r="Y21" s="105"/>
    </row>
    <row r="22" spans="1:25" s="23" customFormat="1" x14ac:dyDescent="0.25">
      <c r="A22" s="52"/>
      <c r="B22" s="53"/>
      <c r="C22" s="53"/>
      <c r="D22" s="53"/>
      <c r="E22" s="55"/>
      <c r="F22" s="55"/>
      <c r="G22" s="54"/>
      <c r="H22" s="60"/>
      <c r="I22" s="34"/>
      <c r="J22" s="69"/>
      <c r="K22" s="69"/>
      <c r="L22" s="69"/>
      <c r="M22" s="69"/>
      <c r="N22" s="69"/>
      <c r="O22" s="69"/>
      <c r="P22" s="69"/>
      <c r="Q22" s="69"/>
      <c r="R22" s="69"/>
      <c r="S22" s="61"/>
      <c r="T22" s="67">
        <f t="shared" si="2"/>
        <v>0</v>
      </c>
      <c r="U22" s="183">
        <f t="shared" si="0"/>
        <v>0</v>
      </c>
      <c r="V22" s="193">
        <f>D2</f>
        <v>403</v>
      </c>
      <c r="W22" s="164" t="s">
        <v>8</v>
      </c>
      <c r="X22" s="160">
        <f t="shared" si="3"/>
        <v>0</v>
      </c>
      <c r="Y22" s="95"/>
    </row>
    <row r="23" spans="1:25" s="23" customFormat="1" x14ac:dyDescent="0.25">
      <c r="A23" s="52"/>
      <c r="B23" s="53"/>
      <c r="C23" s="53"/>
      <c r="D23" s="53"/>
      <c r="E23" s="55"/>
      <c r="F23" s="55"/>
      <c r="G23" s="54"/>
      <c r="H23" s="60"/>
      <c r="I23" s="34">
        <v>1</v>
      </c>
      <c r="J23" s="69"/>
      <c r="K23" s="69"/>
      <c r="L23" s="69"/>
      <c r="M23" s="69"/>
      <c r="N23" s="69"/>
      <c r="O23" s="69"/>
      <c r="P23" s="69"/>
      <c r="Q23" s="69"/>
      <c r="R23" s="69"/>
      <c r="S23" s="61"/>
      <c r="T23" s="67">
        <f t="shared" si="2"/>
        <v>0</v>
      </c>
      <c r="U23" s="183">
        <f t="shared" si="0"/>
        <v>0</v>
      </c>
      <c r="V23" s="193">
        <f>D2</f>
        <v>403</v>
      </c>
      <c r="W23" s="164" t="s">
        <v>77</v>
      </c>
      <c r="X23" s="160">
        <f t="shared" si="3"/>
        <v>0</v>
      </c>
      <c r="Y23" s="126"/>
    </row>
    <row r="24" spans="1:25" s="23" customFormat="1" x14ac:dyDescent="0.25">
      <c r="A24" s="52"/>
      <c r="B24" s="53"/>
      <c r="C24" s="53"/>
      <c r="D24" s="53"/>
      <c r="E24" s="55"/>
      <c r="F24" s="55"/>
      <c r="G24" s="54"/>
      <c r="H24" s="124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1"/>
      <c r="T24" s="67">
        <f t="shared" si="2"/>
        <v>0</v>
      </c>
      <c r="U24" s="183">
        <f t="shared" si="0"/>
        <v>0</v>
      </c>
      <c r="V24" s="193">
        <f>D2</f>
        <v>403</v>
      </c>
      <c r="W24" s="164" t="s">
        <v>19</v>
      </c>
      <c r="X24" s="160">
        <f t="shared" si="3"/>
        <v>0</v>
      </c>
      <c r="Y24" s="78"/>
    </row>
    <row r="25" spans="1:25" s="23" customFormat="1" x14ac:dyDescent="0.25">
      <c r="A25" s="52"/>
      <c r="B25" s="53"/>
      <c r="C25" s="53"/>
      <c r="D25" s="53"/>
      <c r="E25" s="55"/>
      <c r="F25" s="55"/>
      <c r="G25" s="54"/>
      <c r="H25" s="60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1"/>
      <c r="T25" s="67">
        <f t="shared" si="2"/>
        <v>0</v>
      </c>
      <c r="U25" s="183">
        <f t="shared" si="0"/>
        <v>0</v>
      </c>
      <c r="V25" s="193">
        <f>D2</f>
        <v>403</v>
      </c>
      <c r="W25" s="164" t="s">
        <v>78</v>
      </c>
      <c r="X25" s="160">
        <f t="shared" si="3"/>
        <v>0</v>
      </c>
      <c r="Y25" s="78"/>
    </row>
    <row r="26" spans="1:25" s="23" customFormat="1" x14ac:dyDescent="0.25">
      <c r="A26" s="52"/>
      <c r="B26" s="53"/>
      <c r="C26" s="53"/>
      <c r="D26" s="53"/>
      <c r="E26" s="55"/>
      <c r="F26" s="55"/>
      <c r="G26" s="54"/>
      <c r="H26" s="60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1"/>
      <c r="T26" s="67">
        <f t="shared" si="2"/>
        <v>0</v>
      </c>
      <c r="U26" s="183">
        <f t="shared" si="0"/>
        <v>0</v>
      </c>
      <c r="V26" s="193">
        <f>D2</f>
        <v>403</v>
      </c>
      <c r="W26" s="164" t="s">
        <v>9</v>
      </c>
      <c r="X26" s="160">
        <f t="shared" si="3"/>
        <v>0</v>
      </c>
      <c r="Y26" s="126"/>
    </row>
    <row r="27" spans="1:25" s="23" customFormat="1" x14ac:dyDescent="0.25">
      <c r="A27" s="52"/>
      <c r="B27" s="53"/>
      <c r="C27" s="53"/>
      <c r="D27" s="53"/>
      <c r="E27" s="55"/>
      <c r="F27" s="55"/>
      <c r="G27" s="54"/>
      <c r="H27" s="60"/>
      <c r="I27" s="69">
        <v>9</v>
      </c>
      <c r="J27" s="69">
        <v>1</v>
      </c>
      <c r="K27" s="69"/>
      <c r="L27" s="69"/>
      <c r="M27" s="69"/>
      <c r="N27" s="69"/>
      <c r="O27" s="69"/>
      <c r="P27" s="69"/>
      <c r="Q27" s="69"/>
      <c r="R27" s="69"/>
      <c r="S27" s="61"/>
      <c r="T27" s="67">
        <f t="shared" si="2"/>
        <v>1</v>
      </c>
      <c r="U27" s="183">
        <f t="shared" si="0"/>
        <v>2.4813895781637717E-3</v>
      </c>
      <c r="V27" s="193">
        <f>D2</f>
        <v>403</v>
      </c>
      <c r="W27" s="164" t="s">
        <v>12</v>
      </c>
      <c r="X27" s="160">
        <f t="shared" si="3"/>
        <v>1</v>
      </c>
      <c r="Y27" s="211"/>
    </row>
    <row r="28" spans="1:25" s="23" customFormat="1" x14ac:dyDescent="0.25">
      <c r="A28" s="52"/>
      <c r="B28" s="53"/>
      <c r="C28" s="53"/>
      <c r="D28" s="53"/>
      <c r="E28" s="55"/>
      <c r="F28" s="55"/>
      <c r="G28" s="54"/>
      <c r="H28" s="60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1"/>
      <c r="T28" s="67">
        <f t="shared" si="2"/>
        <v>0</v>
      </c>
      <c r="U28" s="183">
        <f t="shared" si="0"/>
        <v>0</v>
      </c>
      <c r="V28" s="193">
        <f>D2</f>
        <v>403</v>
      </c>
      <c r="W28" s="164" t="s">
        <v>92</v>
      </c>
      <c r="X28" s="160">
        <f t="shared" si="3"/>
        <v>0</v>
      </c>
      <c r="Y28" s="264"/>
    </row>
    <row r="29" spans="1:25" s="23" customFormat="1" x14ac:dyDescent="0.25">
      <c r="A29" s="52"/>
      <c r="B29" s="53"/>
      <c r="C29" s="53"/>
      <c r="D29" s="53"/>
      <c r="E29" s="55"/>
      <c r="F29" s="55"/>
      <c r="G29" s="54"/>
      <c r="H29" s="60"/>
      <c r="I29" s="69"/>
      <c r="J29" s="63"/>
      <c r="K29" s="63"/>
      <c r="L29" s="63"/>
      <c r="M29" s="63"/>
      <c r="N29" s="63"/>
      <c r="O29" s="63"/>
      <c r="P29" s="63"/>
      <c r="Q29" s="63"/>
      <c r="R29" s="63"/>
      <c r="S29" s="61"/>
      <c r="T29" s="67">
        <f t="shared" si="2"/>
        <v>0</v>
      </c>
      <c r="U29" s="183">
        <f t="shared" si="0"/>
        <v>0</v>
      </c>
      <c r="V29" s="193">
        <f>D2</f>
        <v>403</v>
      </c>
      <c r="W29" s="164" t="s">
        <v>80</v>
      </c>
      <c r="X29" s="160">
        <f t="shared" si="3"/>
        <v>0</v>
      </c>
      <c r="Y29" s="126"/>
    </row>
    <row r="30" spans="1:25" s="23" customFormat="1" ht="15.75" thickBot="1" x14ac:dyDescent="0.3">
      <c r="A30" s="52"/>
      <c r="B30" s="53"/>
      <c r="C30" s="53"/>
      <c r="D30" s="53"/>
      <c r="E30" s="55"/>
      <c r="F30" s="55"/>
      <c r="G30" s="54"/>
      <c r="H30" s="64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6"/>
      <c r="T30" s="173">
        <f>SUM(H30,J30,L30,N30,P30,S30)</f>
        <v>0</v>
      </c>
      <c r="U30" s="183">
        <f t="shared" si="0"/>
        <v>0</v>
      </c>
      <c r="V30" s="194">
        <f>D2</f>
        <v>403</v>
      </c>
      <c r="W30" s="170" t="s">
        <v>151</v>
      </c>
      <c r="X30" s="160">
        <f t="shared" si="3"/>
        <v>0</v>
      </c>
      <c r="Y30" s="78"/>
    </row>
    <row r="31" spans="1:25" s="23" customFormat="1" ht="15.75" thickBot="1" x14ac:dyDescent="0.3">
      <c r="A31" s="52"/>
      <c r="B31" s="53"/>
      <c r="C31" s="53"/>
      <c r="D31" s="53"/>
      <c r="E31" s="55"/>
      <c r="F31" s="55"/>
      <c r="G31" s="54"/>
      <c r="H31" s="169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7"/>
      <c r="T31" s="235"/>
      <c r="U31" s="166"/>
      <c r="V31" s="235"/>
      <c r="W31" s="116" t="s">
        <v>81</v>
      </c>
      <c r="X31" s="160">
        <f t="shared" si="3"/>
        <v>0</v>
      </c>
      <c r="Y31" s="78"/>
    </row>
    <row r="32" spans="1:25" s="23" customFormat="1" x14ac:dyDescent="0.25">
      <c r="A32" s="52"/>
      <c r="B32" s="53"/>
      <c r="C32" s="53"/>
      <c r="D32" s="53"/>
      <c r="E32" s="55"/>
      <c r="F32" s="55"/>
      <c r="G32" s="56"/>
      <c r="H32" s="5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59"/>
      <c r="T32" s="71">
        <f>SUM(H32,J32,L32,N32,P32,S32)</f>
        <v>0</v>
      </c>
      <c r="U32" s="183">
        <f t="shared" ref="U32:U42" si="4">($T32)/$D$2</f>
        <v>0</v>
      </c>
      <c r="V32" s="193">
        <f>D2</f>
        <v>403</v>
      </c>
      <c r="W32" s="165" t="s">
        <v>82</v>
      </c>
      <c r="X32" s="160">
        <f t="shared" si="3"/>
        <v>0</v>
      </c>
      <c r="Y32" s="354" t="s">
        <v>167</v>
      </c>
    </row>
    <row r="33" spans="1:25" s="23" customFormat="1" x14ac:dyDescent="0.25">
      <c r="A33" s="52"/>
      <c r="B33" s="53"/>
      <c r="C33" s="53"/>
      <c r="D33" s="53"/>
      <c r="E33" s="55"/>
      <c r="F33" s="55"/>
      <c r="G33" s="56"/>
      <c r="H33" s="60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1"/>
      <c r="T33" s="71">
        <f t="shared" ref="T33:T40" si="5">SUM(H33,J33,L33,N33,P33,S33)</f>
        <v>0</v>
      </c>
      <c r="U33" s="183">
        <f t="shared" si="4"/>
        <v>0</v>
      </c>
      <c r="V33" s="193">
        <f>D2</f>
        <v>403</v>
      </c>
      <c r="W33" s="164" t="s">
        <v>83</v>
      </c>
      <c r="X33" s="160">
        <f t="shared" si="3"/>
        <v>0</v>
      </c>
      <c r="Y33" s="354"/>
    </row>
    <row r="34" spans="1:25" s="23" customFormat="1" x14ac:dyDescent="0.25">
      <c r="A34" s="52"/>
      <c r="B34" s="53"/>
      <c r="C34" s="53"/>
      <c r="D34" s="53"/>
      <c r="E34" s="55"/>
      <c r="F34" s="55"/>
      <c r="G34" s="56"/>
      <c r="H34" s="60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1"/>
      <c r="T34" s="71">
        <f t="shared" si="5"/>
        <v>0</v>
      </c>
      <c r="U34" s="183">
        <f t="shared" si="4"/>
        <v>0</v>
      </c>
      <c r="V34" s="193"/>
      <c r="W34" s="164" t="s">
        <v>84</v>
      </c>
      <c r="X34" s="160"/>
      <c r="Y34" s="95" t="s">
        <v>391</v>
      </c>
    </row>
    <row r="35" spans="1:25" s="23" customFormat="1" x14ac:dyDescent="0.25">
      <c r="A35" s="52"/>
      <c r="B35" s="53"/>
      <c r="C35" s="53"/>
      <c r="D35" s="53"/>
      <c r="E35" s="55"/>
      <c r="F35" s="55"/>
      <c r="G35" s="56"/>
      <c r="H35" s="60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1"/>
      <c r="T35" s="71">
        <f t="shared" si="5"/>
        <v>0</v>
      </c>
      <c r="U35" s="183">
        <f t="shared" si="4"/>
        <v>0</v>
      </c>
      <c r="V35" s="193"/>
      <c r="W35" s="164" t="s">
        <v>37</v>
      </c>
      <c r="X35" s="160"/>
      <c r="Y35" s="354" t="s">
        <v>190</v>
      </c>
    </row>
    <row r="36" spans="1:25" s="23" customFormat="1" x14ac:dyDescent="0.25">
      <c r="A36" s="52"/>
      <c r="B36" s="53"/>
      <c r="C36" s="53"/>
      <c r="D36" s="53"/>
      <c r="E36" s="55"/>
      <c r="F36" s="55"/>
      <c r="G36" s="56"/>
      <c r="H36" s="60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1"/>
      <c r="T36" s="71">
        <f t="shared" si="5"/>
        <v>0</v>
      </c>
      <c r="U36" s="183">
        <f t="shared" si="4"/>
        <v>0</v>
      </c>
      <c r="V36" s="193"/>
      <c r="W36" s="164" t="s">
        <v>35</v>
      </c>
      <c r="X36" s="160"/>
      <c r="Y36" s="354"/>
    </row>
    <row r="37" spans="1:25" s="23" customFormat="1" ht="15.75" x14ac:dyDescent="0.25">
      <c r="A37" s="52"/>
      <c r="B37" s="53"/>
      <c r="C37" s="53"/>
      <c r="D37" s="53"/>
      <c r="E37" s="55"/>
      <c r="F37" s="55"/>
      <c r="G37" s="56"/>
      <c r="H37" s="60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1"/>
      <c r="T37" s="71">
        <f t="shared" si="5"/>
        <v>0</v>
      </c>
      <c r="U37" s="183">
        <f t="shared" si="4"/>
        <v>0</v>
      </c>
      <c r="V37" s="193">
        <f>D2</f>
        <v>403</v>
      </c>
      <c r="W37" s="203" t="s">
        <v>159</v>
      </c>
      <c r="X37" s="160">
        <f t="shared" ref="X37:X42" si="6">T37</f>
        <v>0</v>
      </c>
      <c r="Y37" s="126" t="s">
        <v>390</v>
      </c>
    </row>
    <row r="38" spans="1:25" s="23" customFormat="1" x14ac:dyDescent="0.25">
      <c r="A38" s="52"/>
      <c r="B38" s="53"/>
      <c r="C38" s="53"/>
      <c r="D38" s="53"/>
      <c r="E38" s="55"/>
      <c r="F38" s="55"/>
      <c r="G38" s="56"/>
      <c r="H38" s="60">
        <v>1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1"/>
      <c r="T38" s="71">
        <f t="shared" si="5"/>
        <v>1</v>
      </c>
      <c r="U38" s="183">
        <f t="shared" si="4"/>
        <v>2.4813895781637717E-3</v>
      </c>
      <c r="V38" s="193">
        <f>D2</f>
        <v>403</v>
      </c>
      <c r="W38" s="164" t="s">
        <v>89</v>
      </c>
      <c r="X38" s="160">
        <f t="shared" si="6"/>
        <v>1</v>
      </c>
      <c r="Y38" s="264"/>
    </row>
    <row r="39" spans="1:25" s="23" customFormat="1" x14ac:dyDescent="0.25">
      <c r="A39" s="52"/>
      <c r="B39" s="53"/>
      <c r="C39" s="53"/>
      <c r="D39" s="53"/>
      <c r="E39" s="55"/>
      <c r="F39" s="55"/>
      <c r="G39" s="56"/>
      <c r="H39" s="60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1"/>
      <c r="T39" s="71">
        <f t="shared" si="5"/>
        <v>0</v>
      </c>
      <c r="U39" s="183">
        <f t="shared" si="4"/>
        <v>0</v>
      </c>
      <c r="V39" s="193">
        <f>D2</f>
        <v>403</v>
      </c>
      <c r="W39" s="164" t="s">
        <v>158</v>
      </c>
      <c r="X39" s="160">
        <f t="shared" si="6"/>
        <v>0</v>
      </c>
      <c r="Y39" s="126"/>
    </row>
    <row r="40" spans="1:25" s="23" customFormat="1" ht="15.75" x14ac:dyDescent="0.25">
      <c r="A40" s="52"/>
      <c r="B40" s="53"/>
      <c r="C40" s="53"/>
      <c r="D40" s="53"/>
      <c r="E40" s="55"/>
      <c r="F40" s="55"/>
      <c r="G40" s="56"/>
      <c r="H40" s="60">
        <v>2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1"/>
      <c r="T40" s="71">
        <f t="shared" si="5"/>
        <v>2</v>
      </c>
      <c r="U40" s="183">
        <f t="shared" si="4"/>
        <v>4.9627791563275434E-3</v>
      </c>
      <c r="V40" s="193">
        <f>D2</f>
        <v>403</v>
      </c>
      <c r="W40" s="203" t="s">
        <v>148</v>
      </c>
      <c r="X40" s="160">
        <f t="shared" si="6"/>
        <v>2</v>
      </c>
      <c r="Y40" s="78"/>
    </row>
    <row r="41" spans="1:25" s="23" customFormat="1" ht="15.75" thickBot="1" x14ac:dyDescent="0.3">
      <c r="A41" s="155"/>
      <c r="B41" s="156"/>
      <c r="C41" s="156"/>
      <c r="D41" s="156"/>
      <c r="E41" s="157"/>
      <c r="F41" s="157"/>
      <c r="G41" s="163"/>
      <c r="H41" s="64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6"/>
      <c r="T41" s="71">
        <f>SUM(H41,J41,L41,N41,P41,S41)</f>
        <v>0</v>
      </c>
      <c r="U41" s="245">
        <f t="shared" si="4"/>
        <v>0</v>
      </c>
      <c r="V41" s="194">
        <f>D2</f>
        <v>403</v>
      </c>
      <c r="W41" s="234" t="s">
        <v>71</v>
      </c>
      <c r="X41" s="160">
        <f t="shared" si="6"/>
        <v>0</v>
      </c>
      <c r="Y41" s="162"/>
    </row>
    <row r="42" spans="1:25" s="23" customFormat="1" ht="15.75" thickBot="1" x14ac:dyDescent="0.3">
      <c r="A42" s="41"/>
      <c r="B42" s="41"/>
      <c r="C42" s="41"/>
      <c r="D42" s="41"/>
      <c r="E42" s="41"/>
      <c r="F42" s="41"/>
      <c r="G42" s="47" t="s">
        <v>4</v>
      </c>
      <c r="H42" s="57">
        <f t="shared" ref="H42:S42" si="7">SUM(H3:H41)</f>
        <v>19</v>
      </c>
      <c r="I42" s="57">
        <f t="shared" si="7"/>
        <v>10</v>
      </c>
      <c r="J42" s="57">
        <f t="shared" si="7"/>
        <v>5</v>
      </c>
      <c r="K42" s="57">
        <f t="shared" si="7"/>
        <v>0</v>
      </c>
      <c r="L42" s="57">
        <f t="shared" si="7"/>
        <v>0</v>
      </c>
      <c r="M42" s="57">
        <f t="shared" si="7"/>
        <v>0</v>
      </c>
      <c r="N42" s="57">
        <f t="shared" si="7"/>
        <v>0</v>
      </c>
      <c r="O42" s="57">
        <f t="shared" si="7"/>
        <v>0</v>
      </c>
      <c r="P42" s="57">
        <f t="shared" si="7"/>
        <v>0</v>
      </c>
      <c r="Q42" s="57">
        <f t="shared" si="7"/>
        <v>0</v>
      </c>
      <c r="R42" s="57">
        <f t="shared" si="7"/>
        <v>0</v>
      </c>
      <c r="S42" s="57">
        <f t="shared" si="7"/>
        <v>14</v>
      </c>
      <c r="T42" s="72">
        <f>SUM(H42,J42,L42,N42,P42,S42)</f>
        <v>38</v>
      </c>
      <c r="U42" s="183">
        <f t="shared" si="4"/>
        <v>9.4292803970223327E-2</v>
      </c>
      <c r="V42" s="309">
        <f>D2</f>
        <v>403</v>
      </c>
      <c r="W42" s="161"/>
      <c r="X42" s="160">
        <f t="shared" si="6"/>
        <v>38</v>
      </c>
      <c r="Y42" s="12" t="s">
        <v>100</v>
      </c>
    </row>
  </sheetData>
  <conditionalFormatting sqref="U3:U30 M43:M1048576">
    <cfRule type="cellIs" dxfId="172" priority="32" operator="greaterThan">
      <formula>0.2</formula>
    </cfRule>
  </conditionalFormatting>
  <conditionalFormatting sqref="U2:V2">
    <cfRule type="cellIs" dxfId="171" priority="17" operator="greaterThan">
      <formula>0.2</formula>
    </cfRule>
  </conditionalFormatting>
  <conditionalFormatting sqref="U1">
    <cfRule type="cellIs" dxfId="170" priority="16" operator="greaterThan">
      <formula>0.2</formula>
    </cfRule>
  </conditionalFormatting>
  <conditionalFormatting sqref="V1">
    <cfRule type="cellIs" dxfId="169" priority="15" operator="greaterThan">
      <formula>0.2</formula>
    </cfRule>
  </conditionalFormatting>
  <conditionalFormatting sqref="U42">
    <cfRule type="cellIs" dxfId="168" priority="12" operator="greaterThan">
      <formula>0.2</formula>
    </cfRule>
  </conditionalFormatting>
  <conditionalFormatting sqref="U32:U42">
    <cfRule type="cellIs" dxfId="167" priority="11" operator="greaterThan">
      <formula>0.2</formula>
    </cfRule>
  </conditionalFormatting>
  <conditionalFormatting sqref="U32:U42">
    <cfRule type="colorScale" priority="13">
      <colorScale>
        <cfvo type="min"/>
        <cfvo type="max"/>
        <color rgb="FFFCFCFF"/>
        <color rgb="FFF8696B"/>
      </colorScale>
    </cfRule>
  </conditionalFormatting>
  <conditionalFormatting sqref="U3:U30">
    <cfRule type="colorScale" priority="3304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10</vt:i4>
      </vt:variant>
    </vt:vector>
  </HeadingPairs>
  <TitlesOfParts>
    <vt:vector size="31" baseType="lpstr">
      <vt:lpstr>EB210</vt:lpstr>
      <vt:lpstr>EB210 Graph</vt:lpstr>
      <vt:lpstr>EB211</vt:lpstr>
      <vt:lpstr>EB211 Graph</vt:lpstr>
      <vt:lpstr>EB212</vt:lpstr>
      <vt:lpstr>EB212 Graphs</vt:lpstr>
      <vt:lpstr>EB213</vt:lpstr>
      <vt:lpstr>EB213 Graphs</vt:lpstr>
      <vt:lpstr>EB214</vt:lpstr>
      <vt:lpstr>EB214 Graphs</vt:lpstr>
      <vt:lpstr>EB215</vt:lpstr>
      <vt:lpstr>EB215 Graphs</vt:lpstr>
      <vt:lpstr>EB216</vt:lpstr>
      <vt:lpstr>EB216 Graphs</vt:lpstr>
      <vt:lpstr>EB217</vt:lpstr>
      <vt:lpstr>EB217 Graphs</vt:lpstr>
      <vt:lpstr>EB230</vt:lpstr>
      <vt:lpstr>EB230 Graphs</vt:lpstr>
      <vt:lpstr>EB240</vt:lpstr>
      <vt:lpstr>EB240 Graphs</vt:lpstr>
      <vt:lpstr>Sheet1</vt:lpstr>
      <vt:lpstr>'EB210 Graph'!Print_Area</vt:lpstr>
      <vt:lpstr>'EB211 Graph'!Print_Area</vt:lpstr>
      <vt:lpstr>'EB212 Graphs'!Print_Area</vt:lpstr>
      <vt:lpstr>'EB213 Graphs'!Print_Area</vt:lpstr>
      <vt:lpstr>'EB214 Graphs'!Print_Area</vt:lpstr>
      <vt:lpstr>'EB215 Graphs'!Print_Area</vt:lpstr>
      <vt:lpstr>'EB216 Graphs'!Print_Area</vt:lpstr>
      <vt:lpstr>'EB217 Graphs'!Print_Area</vt:lpstr>
      <vt:lpstr>'EB230 Graphs'!Print_Area</vt:lpstr>
      <vt:lpstr>'EB240 Graphs'!Print_Area</vt:lpstr>
    </vt:vector>
  </TitlesOfParts>
  <Company>Applied Medical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Chris</dc:creator>
  <cp:lastModifiedBy>Hoang, Anh</cp:lastModifiedBy>
  <cp:lastPrinted>2024-03-28T11:38:42Z</cp:lastPrinted>
  <dcterms:created xsi:type="dcterms:W3CDTF">2015-02-11T19:14:46Z</dcterms:created>
  <dcterms:modified xsi:type="dcterms:W3CDTF">2024-07-12T19:20:06Z</dcterms:modified>
</cp:coreProperties>
</file>