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son Tan\Documents\Syn\My Drive\Study\Excel\"/>
    </mc:Choice>
  </mc:AlternateContent>
  <xr:revisionPtr revIDLastSave="0" documentId="13_ncr:1_{7F406969-7B23-4D61-A593-0CCAFD4B6A48}" xr6:coauthVersionLast="47" xr6:coauthVersionMax="47" xr10:uidLastSave="{00000000-0000-0000-0000-000000000000}"/>
  <bookViews>
    <workbookView xWindow="-103" yWindow="-103" windowWidth="16663" windowHeight="9463" xr2:uid="{D48F33C7-F089-4A49-9543-E003575BD8EC}"/>
  </bookViews>
  <sheets>
    <sheet name="Sheet1" sheetId="1" r:id="rId1"/>
    <sheet name="Chart1" sheetId="8" r:id="rId2"/>
  </sheet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4" i="1" l="1"/>
  <c r="C134" i="1"/>
  <c r="D132" i="1"/>
  <c r="C132" i="1"/>
  <c r="D131" i="1"/>
  <c r="C131" i="1"/>
  <c r="D129" i="1"/>
  <c r="C129" i="1"/>
  <c r="D127" i="1"/>
  <c r="C127" i="1"/>
  <c r="D125" i="1"/>
  <c r="C125" i="1"/>
  <c r="D124" i="1"/>
  <c r="C124" i="1"/>
  <c r="D123" i="1"/>
  <c r="C123" i="1"/>
  <c r="D121" i="1"/>
  <c r="C121" i="1"/>
  <c r="D118" i="1"/>
  <c r="C118" i="1"/>
  <c r="D117" i="1"/>
  <c r="C117" i="1"/>
  <c r="D116" i="1"/>
  <c r="C116" i="1"/>
  <c r="D115" i="1"/>
  <c r="C115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2" i="1"/>
  <c r="C102" i="1"/>
  <c r="D101" i="1"/>
  <c r="C101" i="1"/>
  <c r="D100" i="1"/>
  <c r="C100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8" i="1"/>
  <c r="C78" i="1"/>
  <c r="D76" i="1"/>
  <c r="C76" i="1"/>
  <c r="D75" i="1"/>
  <c r="C75" i="1"/>
  <c r="D74" i="1"/>
  <c r="C74" i="1"/>
  <c r="D73" i="1"/>
  <c r="C73" i="1"/>
  <c r="D71" i="1"/>
  <c r="C71" i="1"/>
  <c r="D70" i="1"/>
  <c r="C70" i="1"/>
  <c r="D69" i="1"/>
  <c r="C69" i="1"/>
  <c r="D68" i="1"/>
  <c r="C68" i="1"/>
  <c r="D50" i="1"/>
  <c r="C50" i="1"/>
  <c r="D48" i="1"/>
  <c r="C48" i="1"/>
  <c r="D47" i="1"/>
  <c r="C47" i="1"/>
  <c r="D42" i="1"/>
  <c r="C42" i="1"/>
  <c r="D40" i="1"/>
  <c r="C40" i="1"/>
  <c r="D39" i="1"/>
  <c r="C39" i="1"/>
</calcChain>
</file>

<file path=xl/sharedStrings.xml><?xml version="1.0" encoding="utf-8"?>
<sst xmlns="http://schemas.openxmlformats.org/spreadsheetml/2006/main" count="54" uniqueCount="12">
  <si>
    <t xml:space="preserve">Sales </t>
  </si>
  <si>
    <t>GP</t>
  </si>
  <si>
    <t>Grand Total</t>
  </si>
  <si>
    <t>Sum of GP</t>
  </si>
  <si>
    <t xml:space="preserve">Sum of Sales </t>
  </si>
  <si>
    <t>Month</t>
  </si>
  <si>
    <t>Year</t>
  </si>
  <si>
    <t>Year/ Mths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</si>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</sst>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  <xf numFmtId="49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/>
    <xf numFmtId="165" fontId="3" fillId="0" borderId="1" xfId="0" applyNumberFormat="1" applyFont="1" applyBorder="1" applyAlignment="1">
      <alignment horizontal="center"/>
    </xf>
    <xf numFmtId="2" fontId="3" fillId="0" borderId="1" xfId="1" applyNumberFormat="1" applyFont="1" applyBorder="1"/>
    <xf numFmtId="2" fontId="4" fillId="0" borderId="1" xfId="1" applyNumberFormat="1" applyFont="1" applyBorder="1" applyAlignment="1">
      <alignment horizontal="center"/>
    </xf>
    <xf numFmtId="164" fontId="3" fillId="0" borderId="1" xfId="1" applyNumberFormat="1" applyFont="1" applyBorder="1"/>
    <xf numFmtId="164" fontId="4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[PivotTable.xlsx]Sheet1!PivotTable20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1">
                        <a:alpha val="88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1">
                        <a:alpha val="88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4.0836720599534873E-2"/>
              <c:y val="-1.614255785184507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1">
                        <a:alpha val="88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071753135631653E-2"/>
          <c:y val="1.1662044747297474E-2"/>
          <c:w val="0.75881172736791502"/>
          <c:h val="0.8083830717952971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Sum of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1">
                          <a:alpha val="88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Sheet1!$F$2:$F$60</c:f>
              <c:multiLvlStrCache>
                <c:ptCount val="4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  <c:pt idx="40">
                    <c:v>Qtr1</c:v>
                  </c:pt>
                  <c:pt idx="41">
                    <c:v>Qtr2</c:v>
                  </c:pt>
                  <c:pt idx="42">
                    <c:v>Qtr3</c:v>
                  </c:pt>
                  <c:pt idx="43">
                    <c:v>Qtr4</c:v>
                  </c:pt>
                  <c:pt idx="44">
                    <c:v>Qtr1</c:v>
                  </c:pt>
                  <c:pt idx="45">
                    <c:v>Qtr2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  <c:pt idx="12">
                    <c:v>2016</c:v>
                  </c:pt>
                  <c:pt idx="16">
                    <c:v>2017</c:v>
                  </c:pt>
                  <c:pt idx="20">
                    <c:v>2018</c:v>
                  </c:pt>
                  <c:pt idx="24">
                    <c:v>2019</c:v>
                  </c:pt>
                  <c:pt idx="28">
                    <c:v>2020</c:v>
                  </c:pt>
                  <c:pt idx="32">
                    <c:v>2021</c:v>
                  </c:pt>
                  <c:pt idx="36">
                    <c:v>2022</c:v>
                  </c:pt>
                  <c:pt idx="40">
                    <c:v>2023</c:v>
                  </c:pt>
                  <c:pt idx="44">
                    <c:v>2024</c:v>
                  </c:pt>
                </c:lvl>
              </c:multiLvlStrCache>
            </c:multiLvlStrRef>
          </c:cat>
          <c:val>
            <c:numRef>
              <c:f>Sheet1!$G$2:$G$60</c:f>
              <c:numCache>
                <c:formatCode>General</c:formatCode>
                <c:ptCount val="46"/>
                <c:pt idx="0">
                  <c:v>224397.88999999998</c:v>
                </c:pt>
                <c:pt idx="1">
                  <c:v>241631.38</c:v>
                </c:pt>
                <c:pt idx="2">
                  <c:v>389774.28</c:v>
                </c:pt>
                <c:pt idx="3">
                  <c:v>316995.83999999997</c:v>
                </c:pt>
                <c:pt idx="4">
                  <c:v>255809.07</c:v>
                </c:pt>
                <c:pt idx="5">
                  <c:v>409826.96</c:v>
                </c:pt>
                <c:pt idx="6">
                  <c:v>387894.9</c:v>
                </c:pt>
                <c:pt idx="7">
                  <c:v>322222.71999999997</c:v>
                </c:pt>
                <c:pt idx="8">
                  <c:v>473704.91999999993</c:v>
                </c:pt>
                <c:pt idx="9">
                  <c:v>403882.64</c:v>
                </c:pt>
                <c:pt idx="10">
                  <c:v>458288.24</c:v>
                </c:pt>
                <c:pt idx="11">
                  <c:v>488462.99999999994</c:v>
                </c:pt>
                <c:pt idx="12">
                  <c:v>557948.54</c:v>
                </c:pt>
                <c:pt idx="13">
                  <c:v>432319.56999999995</c:v>
                </c:pt>
                <c:pt idx="14">
                  <c:v>395282.92000000004</c:v>
                </c:pt>
                <c:pt idx="15">
                  <c:v>392246.25</c:v>
                </c:pt>
                <c:pt idx="16">
                  <c:v>282789.81</c:v>
                </c:pt>
                <c:pt idx="17">
                  <c:v>359757.37</c:v>
                </c:pt>
                <c:pt idx="18">
                  <c:v>330487.15000000002</c:v>
                </c:pt>
                <c:pt idx="19">
                  <c:v>429175.17</c:v>
                </c:pt>
                <c:pt idx="20">
                  <c:v>341107.48</c:v>
                </c:pt>
                <c:pt idx="21">
                  <c:v>225738.15999999997</c:v>
                </c:pt>
                <c:pt idx="22">
                  <c:v>133508.91</c:v>
                </c:pt>
                <c:pt idx="23">
                  <c:v>254389.76000000001</c:v>
                </c:pt>
                <c:pt idx="24">
                  <c:v>275263.09000000003</c:v>
                </c:pt>
                <c:pt idx="25">
                  <c:v>262724.63</c:v>
                </c:pt>
                <c:pt idx="26">
                  <c:v>260815.8</c:v>
                </c:pt>
                <c:pt idx="27">
                  <c:v>297343.59000000003</c:v>
                </c:pt>
                <c:pt idx="28">
                  <c:v>281262.90000000002</c:v>
                </c:pt>
                <c:pt idx="29">
                  <c:v>134319.91999999998</c:v>
                </c:pt>
                <c:pt idx="30">
                  <c:v>122858.79</c:v>
                </c:pt>
                <c:pt idx="31">
                  <c:v>269599.12</c:v>
                </c:pt>
                <c:pt idx="32">
                  <c:v>320828.32999999996</c:v>
                </c:pt>
                <c:pt idx="33">
                  <c:v>203628.99000000002</c:v>
                </c:pt>
                <c:pt idx="34">
                  <c:v>279808.72000000003</c:v>
                </c:pt>
                <c:pt idx="35">
                  <c:v>237991.84</c:v>
                </c:pt>
                <c:pt idx="36">
                  <c:v>217155.50000000003</c:v>
                </c:pt>
                <c:pt idx="37">
                  <c:v>244997.43999999997</c:v>
                </c:pt>
                <c:pt idx="38">
                  <c:v>233954.63</c:v>
                </c:pt>
                <c:pt idx="39">
                  <c:v>280410.49</c:v>
                </c:pt>
                <c:pt idx="40">
                  <c:v>225780.41999999998</c:v>
                </c:pt>
                <c:pt idx="41">
                  <c:v>284891.95999999996</c:v>
                </c:pt>
                <c:pt idx="42">
                  <c:v>256556.56999999998</c:v>
                </c:pt>
                <c:pt idx="43">
                  <c:v>230181.88999999998</c:v>
                </c:pt>
                <c:pt idx="44">
                  <c:v>242056.26</c:v>
                </c:pt>
                <c:pt idx="45">
                  <c:v>70029.48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A7-48E7-84A5-3136F8555224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Sum of GP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1">
                          <a:alpha val="88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Sheet1!$F$2:$F$60</c:f>
              <c:multiLvlStrCache>
                <c:ptCount val="4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  <c:pt idx="40">
                    <c:v>Qtr1</c:v>
                  </c:pt>
                  <c:pt idx="41">
                    <c:v>Qtr2</c:v>
                  </c:pt>
                  <c:pt idx="42">
                    <c:v>Qtr3</c:v>
                  </c:pt>
                  <c:pt idx="43">
                    <c:v>Qtr4</c:v>
                  </c:pt>
                  <c:pt idx="44">
                    <c:v>Qtr1</c:v>
                  </c:pt>
                  <c:pt idx="45">
                    <c:v>Qtr2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  <c:pt idx="12">
                    <c:v>2016</c:v>
                  </c:pt>
                  <c:pt idx="16">
                    <c:v>2017</c:v>
                  </c:pt>
                  <c:pt idx="20">
                    <c:v>2018</c:v>
                  </c:pt>
                  <c:pt idx="24">
                    <c:v>2019</c:v>
                  </c:pt>
                  <c:pt idx="28">
                    <c:v>2020</c:v>
                  </c:pt>
                  <c:pt idx="32">
                    <c:v>2021</c:v>
                  </c:pt>
                  <c:pt idx="36">
                    <c:v>2022</c:v>
                  </c:pt>
                  <c:pt idx="40">
                    <c:v>2023</c:v>
                  </c:pt>
                  <c:pt idx="44">
                    <c:v>2024</c:v>
                  </c:pt>
                </c:lvl>
              </c:multiLvlStrCache>
            </c:multiLvlStrRef>
          </c:cat>
          <c:val>
            <c:numRef>
              <c:f>Sheet1!$H$2:$H$60</c:f>
              <c:numCache>
                <c:formatCode>General</c:formatCode>
                <c:ptCount val="46"/>
                <c:pt idx="0">
                  <c:v>144072.34</c:v>
                </c:pt>
                <c:pt idx="1">
                  <c:v>168334.99</c:v>
                </c:pt>
                <c:pt idx="2">
                  <c:v>259674.65</c:v>
                </c:pt>
                <c:pt idx="3">
                  <c:v>212556.6</c:v>
                </c:pt>
                <c:pt idx="4">
                  <c:v>173521.08000000002</c:v>
                </c:pt>
                <c:pt idx="5">
                  <c:v>278353.95</c:v>
                </c:pt>
                <c:pt idx="6">
                  <c:v>255397.78</c:v>
                </c:pt>
                <c:pt idx="7">
                  <c:v>219576.76</c:v>
                </c:pt>
                <c:pt idx="8">
                  <c:v>326603.20999999996</c:v>
                </c:pt>
                <c:pt idx="9">
                  <c:v>243853.16</c:v>
                </c:pt>
                <c:pt idx="10">
                  <c:v>282969.08</c:v>
                </c:pt>
                <c:pt idx="11">
                  <c:v>256708.16999999998</c:v>
                </c:pt>
                <c:pt idx="12">
                  <c:v>357321.86</c:v>
                </c:pt>
                <c:pt idx="13">
                  <c:v>287338.64</c:v>
                </c:pt>
                <c:pt idx="14">
                  <c:v>261292.98</c:v>
                </c:pt>
                <c:pt idx="15">
                  <c:v>272271.59000000003</c:v>
                </c:pt>
                <c:pt idx="16">
                  <c:v>186605.44</c:v>
                </c:pt>
                <c:pt idx="17">
                  <c:v>229635.22</c:v>
                </c:pt>
                <c:pt idx="18">
                  <c:v>197835.91</c:v>
                </c:pt>
                <c:pt idx="19">
                  <c:v>249896.84</c:v>
                </c:pt>
                <c:pt idx="20">
                  <c:v>222674.17</c:v>
                </c:pt>
                <c:pt idx="21">
                  <c:v>142777.72</c:v>
                </c:pt>
                <c:pt idx="22">
                  <c:v>89443.140000000014</c:v>
                </c:pt>
                <c:pt idx="23">
                  <c:v>169982.37</c:v>
                </c:pt>
                <c:pt idx="24">
                  <c:v>172894.21</c:v>
                </c:pt>
                <c:pt idx="25">
                  <c:v>161205.16</c:v>
                </c:pt>
                <c:pt idx="26">
                  <c:v>171660.03</c:v>
                </c:pt>
                <c:pt idx="27">
                  <c:v>184543.45</c:v>
                </c:pt>
                <c:pt idx="28">
                  <c:v>172795.71999999997</c:v>
                </c:pt>
                <c:pt idx="29">
                  <c:v>72194.77</c:v>
                </c:pt>
                <c:pt idx="30">
                  <c:v>80395.429999999993</c:v>
                </c:pt>
                <c:pt idx="31">
                  <c:v>167561.38</c:v>
                </c:pt>
                <c:pt idx="32">
                  <c:v>187713.72</c:v>
                </c:pt>
                <c:pt idx="33">
                  <c:v>125998.15</c:v>
                </c:pt>
                <c:pt idx="34">
                  <c:v>176372.35</c:v>
                </c:pt>
                <c:pt idx="35">
                  <c:v>146060.74</c:v>
                </c:pt>
                <c:pt idx="36">
                  <c:v>138106.07</c:v>
                </c:pt>
                <c:pt idx="37">
                  <c:v>157681.70000000001</c:v>
                </c:pt>
                <c:pt idx="38">
                  <c:v>148638.28</c:v>
                </c:pt>
                <c:pt idx="39">
                  <c:v>176165.68</c:v>
                </c:pt>
                <c:pt idx="40">
                  <c:v>151990.78</c:v>
                </c:pt>
                <c:pt idx="41">
                  <c:v>171032.56</c:v>
                </c:pt>
                <c:pt idx="42">
                  <c:v>156708.46999999997</c:v>
                </c:pt>
                <c:pt idx="43">
                  <c:v>147153.23000000001</c:v>
                </c:pt>
                <c:pt idx="44">
                  <c:v>155927.72</c:v>
                </c:pt>
                <c:pt idx="45">
                  <c:v>47410.78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A7-48E7-84A5-3136F85552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8931040"/>
        <c:axId val="278931456"/>
      </c:lineChart>
      <c:catAx>
        <c:axId val="2789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accent1">
                          <a:alpha val="88000"/>
                        </a:schemeClr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Year/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accent1">
                        <a:alpha val="88000"/>
                      </a:schemeClr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>
                      <a:alpha val="88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31456"/>
        <c:crosses val="autoZero"/>
        <c:auto val="1"/>
        <c:lblAlgn val="ctr"/>
        <c:lblOffset val="100"/>
        <c:noMultiLvlLbl val="0"/>
      </c:catAx>
      <c:valAx>
        <c:axId val="2789314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 w="19050">
                      <a:solidFill>
                        <a:srgbClr val="4472C4">
                          <a:alpha val="98000"/>
                        </a:srgbClr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100" b="0">
                    <a:ln w="19050">
                      <a:solidFill>
                        <a:srgbClr val="4472C4">
                          <a:alpha val="98000"/>
                        </a:srgbClr>
                      </a:solidFill>
                    </a:ln>
                  </a:rPr>
                  <a:t>Sales</a:t>
                </a:r>
              </a:p>
            </c:rich>
          </c:tx>
          <c:layout>
            <c:manualLayout>
              <c:xMode val="edge"/>
              <c:yMode val="edge"/>
              <c:x val="4.3946187720120223E-3"/>
              <c:y val="0.34470765523216851"/>
            </c:manualLayout>
          </c:layout>
          <c:overlay val="0"/>
          <c:spPr>
            <a:noFill/>
            <a:ln w="0"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 w="19050">
                    <a:solidFill>
                      <a:srgbClr val="4472C4">
                        <a:alpha val="98000"/>
                      </a:srgbClr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>
                      <a:alpha val="88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310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1">
                    <a:alpha val="88000"/>
                  </a:schemeClr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chemeClr val="accent1">
                <a:alpha val="88000"/>
              </a:schemeClr>
            </a:solidFill>
          </a:ln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DF3A02-E32C-4AF7-9997-2AA218CD7B05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981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B93132-BE63-435D-A054-9BE7744889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son Tan" refreshedDate="45439.586152546297" createdVersion="7" refreshedVersion="7" minRefreshableVersion="3" recordCount="136" xr:uid="{AB248A4E-3AC2-4E73-B506-66C166AF006E}">
  <cacheSource type="worksheet">
    <worksheetSource ref="A1:D137" sheet="Sheet1"/>
  </cacheSource>
  <cacheFields count="6">
    <cacheField name="Year" numFmtId="0">
      <sharedItems containsSemiMixedTypes="0" containsString="0" containsNumber="1" containsInteger="1" minValue="2013" maxValue="2024" count="12"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Month" numFmtId="165">
      <sharedItems containsSemiMixedTypes="0" containsNonDate="0" containsDate="1" containsString="0" minDate="2013-01-01T00:00:00" maxDate="2024-04-05T00:00:00" count="136"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2T00:00:00"/>
        <d v="2014-02-02T00:00:00"/>
        <d v="2014-03-02T00:00:00"/>
        <d v="2014-04-02T00:00:00"/>
        <d v="2014-05-02T00:00:00"/>
        <d v="2014-06-02T00:00:00"/>
        <d v="2014-07-02T00:00:00"/>
        <d v="2014-08-02T00:00:00"/>
        <d v="2014-09-02T00:00:00"/>
        <d v="2014-10-02T00:00:00"/>
        <d v="2014-11-02T00:00:00"/>
        <d v="2014-12-02T00:00:00"/>
        <d v="2015-01-02T00:00:00"/>
        <d v="2015-02-02T00:00:00"/>
        <d v="2015-03-02T00:00:00"/>
        <d v="2015-04-02T00:00:00"/>
        <d v="2015-05-02T00:00:00"/>
        <d v="2015-06-02T00:00:00"/>
        <d v="2015-07-02T00:00:00"/>
        <d v="2015-08-02T00:00:00"/>
        <d v="2015-09-02T00:00:00"/>
        <d v="2015-10-02T00:00:00"/>
        <d v="2015-11-02T00:00:00"/>
        <d v="2015-12-02T00:00:00"/>
        <d v="2016-01-02T00:00:00"/>
        <d v="2016-02-02T00:00:00"/>
        <d v="2016-03-02T00:00:00"/>
        <d v="2016-04-02T00:00:00"/>
        <d v="2016-05-02T00:00:00"/>
        <d v="2016-06-02T00:00:00"/>
        <d v="2016-07-02T00:00:00"/>
        <d v="2016-08-02T00:00:00"/>
        <d v="2016-09-02T00:00:00"/>
        <d v="2016-10-02T00:00:00"/>
        <d v="2016-11-02T00:00:00"/>
        <d v="2016-12-02T00:00:00"/>
        <d v="2017-01-02T00:00:00"/>
        <d v="2017-02-02T00:00:00"/>
        <d v="2017-03-02T00:00:00"/>
        <d v="2017-04-02T00:00:00"/>
        <d v="2017-05-02T00:00:00"/>
        <d v="2017-06-02T00:00:00"/>
        <d v="2017-07-02T00:00:00"/>
        <d v="2017-08-02T00:00:00"/>
        <d v="2017-09-02T00:00:00"/>
        <d v="2017-10-02T00:00:00"/>
        <d v="2017-11-02T00:00:00"/>
        <d v="2017-12-02T00:00:00"/>
        <d v="2018-01-02T00:00:00"/>
        <d v="2018-02-02T00:00:00"/>
        <d v="2018-03-02T00:00:00"/>
        <d v="2018-04-02T00:00:00"/>
        <d v="2018-05-02T00:00:00"/>
        <d v="2018-06-02T00:00:00"/>
        <d v="2018-07-02T00:00:00"/>
        <d v="2018-08-02T00:00:00"/>
        <d v="2018-09-02T00:00:00"/>
        <d v="2018-10-02T00:00:00"/>
        <d v="2018-11-02T00:00:00"/>
        <d v="2018-12-02T00:00:00"/>
        <d v="2019-01-02T00:00:00"/>
        <d v="2019-02-02T00:00:00"/>
        <d v="2019-03-02T00:00:00"/>
        <d v="2019-04-02T00:00:00"/>
        <d v="2019-05-02T00:00:00"/>
        <d v="2019-06-02T00:00:00"/>
        <d v="2019-07-02T00:00:00"/>
        <d v="2019-08-02T00:00:00"/>
        <d v="2019-09-02T00:00:00"/>
        <d v="2019-10-02T00:00:00"/>
        <d v="2019-11-02T00:00:00"/>
        <d v="2019-12-02T00:00:00"/>
        <d v="2020-01-02T00:00:00"/>
        <d v="2020-02-02T00:00:00"/>
        <d v="2020-03-02T00:00:00"/>
        <d v="2020-04-02T00:00:00"/>
        <d v="2020-05-02T00:00:00"/>
        <d v="2020-06-02T00:00:00"/>
        <d v="2020-07-02T00:00:00"/>
        <d v="2020-08-02T00:00:00"/>
        <d v="2020-09-02T00:00:00"/>
        <d v="2020-10-02T00:00:00"/>
        <d v="2020-11-02T00:00:00"/>
        <d v="2020-12-02T00:00:00"/>
        <d v="2021-01-02T00:00:00"/>
        <d v="2021-02-02T00:00:00"/>
        <d v="2021-03-02T00:00:00"/>
        <d v="2021-04-02T00:00:00"/>
        <d v="2021-05-02T00:00:00"/>
        <d v="2021-06-02T00:00:00"/>
        <d v="2021-07-02T00:00:00"/>
        <d v="2021-08-02T00:00:00"/>
        <d v="2021-09-02T00:00:00"/>
        <d v="2021-10-02T00:00:00"/>
        <d v="2021-11-02T00:00:00"/>
        <d v="2021-12-02T00:00:00"/>
        <d v="2022-01-02T00:00:00"/>
        <d v="2022-02-02T00:00:00"/>
        <d v="2022-03-02T00:00:00"/>
        <d v="2022-04-02T00:00:00"/>
        <d v="2022-05-02T00:00:00"/>
        <d v="2022-06-02T00:00:00"/>
        <d v="2022-07-02T00:00:00"/>
        <d v="2022-08-02T00:00:00"/>
        <d v="2022-09-02T00:00:00"/>
        <d v="2022-10-02T00:00:00"/>
        <d v="2022-11-02T00:00:00"/>
        <d v="2022-12-02T00:00:00"/>
        <d v="2023-01-02T00:00:00"/>
        <d v="2023-02-02T00:00:00"/>
        <d v="2023-03-02T00:00:00"/>
        <d v="2023-04-02T00:00:00"/>
        <d v="2023-05-02T00:00:00"/>
        <d v="2023-06-02T00:00:00"/>
        <d v="2023-07-02T00:00:00"/>
        <d v="2023-08-02T00:00:00"/>
        <d v="2023-09-02T00:00:00"/>
        <d v="2023-10-02T00:00:00"/>
        <d v="2023-11-02T00:00:00"/>
        <d v="2023-12-02T00:00:00"/>
        <d v="2024-01-02T00:00:00"/>
        <d v="2024-02-02T00:00:00"/>
        <d v="2024-03-02T00:00:00"/>
        <d v="2024-04-04T00:00:00"/>
      </sharedItems>
      <fieldGroup par="5" base="1">
        <rangePr groupBy="months" startDate="2013-01-01T00:00:00" endDate="2024-04-05T00:00:00"/>
        <groupItems count="14">
          <s v="&lt;01-01-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5-04-24"/>
        </groupItems>
      </fieldGroup>
    </cacheField>
    <cacheField name="Sales " numFmtId="0">
      <sharedItems containsSemiMixedTypes="0" containsString="0" containsNumber="1" minValue="-14679.220000000016" maxValue="243541.53999999998"/>
    </cacheField>
    <cacheField name="GP" numFmtId="0">
      <sharedItems containsSemiMixedTypes="0" containsString="0" containsNumber="1" minValue="-3604.6299999999974" maxValue="154063.19"/>
    </cacheField>
    <cacheField name="Quarters" numFmtId="0" databaseField="0">
      <fieldGroup base="1">
        <rangePr groupBy="quarters" startDate="2013-01-01T00:00:00" endDate="2024-04-05T00:00:00"/>
        <groupItems count="6">
          <s v="&lt;01-01-13"/>
          <s v="Qtr1"/>
          <s v="Qtr2"/>
          <s v="Qtr3"/>
          <s v="Qtr4"/>
          <s v="&gt;05-04-24"/>
        </groupItems>
      </fieldGroup>
    </cacheField>
    <cacheField name="Years" numFmtId="0" databaseField="0">
      <fieldGroup base="1">
        <rangePr groupBy="years" startDate="2013-01-01T00:00:00" endDate="2024-04-05T00:00:00"/>
        <groupItems count="14">
          <s v="&lt;01-01-13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5-04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">
  <r>
    <x v="0"/>
    <x v="0"/>
    <n v="48708.31"/>
    <n v="32505.78"/>
  </r>
  <r>
    <x v="0"/>
    <x v="1"/>
    <n v="35701.65"/>
    <n v="23391.93"/>
  </r>
  <r>
    <x v="0"/>
    <x v="2"/>
    <n v="139987.93"/>
    <n v="88174.63"/>
  </r>
  <r>
    <x v="0"/>
    <x v="3"/>
    <n v="73652.42"/>
    <n v="48744.28"/>
  </r>
  <r>
    <x v="0"/>
    <x v="4"/>
    <n v="85428.66"/>
    <n v="60191.06"/>
  </r>
  <r>
    <x v="0"/>
    <x v="5"/>
    <n v="82550.3"/>
    <n v="59399.65"/>
  </r>
  <r>
    <x v="0"/>
    <x v="6"/>
    <n v="121919.47"/>
    <n v="79542.73"/>
  </r>
  <r>
    <x v="0"/>
    <x v="7"/>
    <n v="155233.46"/>
    <n v="104639.86"/>
  </r>
  <r>
    <x v="0"/>
    <x v="8"/>
    <n v="112621.35"/>
    <n v="75492.06"/>
  </r>
  <r>
    <x v="0"/>
    <x v="9"/>
    <n v="121498.4"/>
    <n v="78651.399999999994"/>
  </r>
  <r>
    <x v="0"/>
    <x v="10"/>
    <n v="95527.85"/>
    <n v="65325.63"/>
  </r>
  <r>
    <x v="0"/>
    <x v="11"/>
    <n v="99969.59"/>
    <n v="68579.570000000007"/>
  </r>
  <r>
    <x v="1"/>
    <x v="12"/>
    <n v="94699.79"/>
    <n v="63945.64"/>
  </r>
  <r>
    <x v="1"/>
    <x v="13"/>
    <n v="90892.77"/>
    <n v="62623.27"/>
  </r>
  <r>
    <x v="1"/>
    <x v="14"/>
    <n v="70216.509999999995"/>
    <n v="46952.17"/>
  </r>
  <r>
    <x v="1"/>
    <x v="15"/>
    <n v="107475.52"/>
    <n v="64079.58"/>
  </r>
  <r>
    <x v="1"/>
    <x v="16"/>
    <n v="153510.5"/>
    <n v="111935.92"/>
  </r>
  <r>
    <x v="1"/>
    <x v="17"/>
    <n v="148840.94"/>
    <n v="102338.45"/>
  </r>
  <r>
    <x v="1"/>
    <x v="18"/>
    <n v="140287.18"/>
    <n v="93466.57"/>
  </r>
  <r>
    <x v="1"/>
    <x v="19"/>
    <n v="145613.84"/>
    <n v="100127.72"/>
  </r>
  <r>
    <x v="1"/>
    <x v="20"/>
    <n v="101993.88"/>
    <n v="61803.49"/>
  </r>
  <r>
    <x v="1"/>
    <x v="21"/>
    <n v="125031.51"/>
    <n v="83222.490000000005"/>
  </r>
  <r>
    <x v="1"/>
    <x v="22"/>
    <n v="74398.73"/>
    <n v="51984.76"/>
  </r>
  <r>
    <x v="1"/>
    <x v="23"/>
    <n v="122792.48"/>
    <n v="84369.51"/>
  </r>
  <r>
    <x v="2"/>
    <x v="24"/>
    <n v="106940.12"/>
    <n v="76435.87"/>
  </r>
  <r>
    <x v="2"/>
    <x v="25"/>
    <n v="220980.96"/>
    <n v="154063.19"/>
  </r>
  <r>
    <x v="2"/>
    <x v="26"/>
    <n v="145783.84"/>
    <n v="96104.15"/>
  </r>
  <r>
    <x v="2"/>
    <x v="27"/>
    <n v="143002.01999999999"/>
    <n v="80216.33"/>
  </r>
  <r>
    <x v="2"/>
    <x v="28"/>
    <n v="182025.75"/>
    <n v="108065.48"/>
  </r>
  <r>
    <x v="2"/>
    <x v="29"/>
    <n v="78854.87"/>
    <n v="55571.35"/>
  </r>
  <r>
    <x v="2"/>
    <x v="30"/>
    <n v="196230.71"/>
    <n v="120856.26"/>
  </r>
  <r>
    <x v="2"/>
    <x v="31"/>
    <n v="128053.36"/>
    <n v="83255.63"/>
  </r>
  <r>
    <x v="2"/>
    <x v="32"/>
    <n v="134004.17000000001"/>
    <n v="78857.19"/>
  </r>
  <r>
    <x v="2"/>
    <x v="33"/>
    <n v="215405.15"/>
    <n v="88398.19"/>
  </r>
  <r>
    <x v="2"/>
    <x v="34"/>
    <n v="147044.43"/>
    <n v="95464.12"/>
  </r>
  <r>
    <x v="2"/>
    <x v="35"/>
    <n v="126013.42"/>
    <n v="72845.86"/>
  </r>
  <r>
    <x v="3"/>
    <x v="36"/>
    <n v="145537"/>
    <n v="100683.73"/>
  </r>
  <r>
    <x v="3"/>
    <x v="37"/>
    <n v="168870"/>
    <n v="111090.37999999999"/>
  </r>
  <r>
    <x v="3"/>
    <x v="38"/>
    <n v="243541.53999999998"/>
    <n v="145547.75"/>
  </r>
  <r>
    <x v="3"/>
    <x v="39"/>
    <n v="162810.85"/>
    <n v="111485.62"/>
  </r>
  <r>
    <x v="3"/>
    <x v="40"/>
    <n v="141714"/>
    <n v="92089.43"/>
  </r>
  <r>
    <x v="3"/>
    <x v="41"/>
    <n v="127794.72"/>
    <n v="83763.59"/>
  </r>
  <r>
    <x v="3"/>
    <x v="42"/>
    <n v="91440.86"/>
    <n v="63854.83"/>
  </r>
  <r>
    <x v="3"/>
    <x v="43"/>
    <n v="134007.26999999999"/>
    <n v="91524.52"/>
  </r>
  <r>
    <x v="3"/>
    <x v="44"/>
    <n v="169834.79"/>
    <n v="105913.63"/>
  </r>
  <r>
    <x v="3"/>
    <x v="45"/>
    <n v="118867.35999999999"/>
    <n v="81142.16"/>
  </r>
  <r>
    <x v="3"/>
    <x v="46"/>
    <n v="130156.4"/>
    <n v="90180.430000000008"/>
  </r>
  <r>
    <x v="3"/>
    <x v="47"/>
    <n v="143222.49"/>
    <n v="100949"/>
  </r>
  <r>
    <x v="4"/>
    <x v="48"/>
    <n v="79579.149999999994"/>
    <n v="51909.25"/>
  </r>
  <r>
    <x v="4"/>
    <x v="49"/>
    <n v="119714.24000000001"/>
    <n v="79930.22"/>
  </r>
  <r>
    <x v="4"/>
    <x v="50"/>
    <n v="83496.42"/>
    <n v="54765.97"/>
  </r>
  <r>
    <x v="4"/>
    <x v="51"/>
    <n v="110019.35"/>
    <n v="70523.69"/>
  </r>
  <r>
    <x v="4"/>
    <x v="52"/>
    <n v="161909.48000000001"/>
    <n v="97285.34"/>
  </r>
  <r>
    <x v="4"/>
    <x v="53"/>
    <n v="87828.54"/>
    <n v="61826.19"/>
  </r>
  <r>
    <x v="4"/>
    <x v="54"/>
    <n v="92926.3"/>
    <n v="62702.38"/>
  </r>
  <r>
    <x v="4"/>
    <x v="55"/>
    <n v="126394.29"/>
    <n v="78350.37"/>
  </r>
  <r>
    <x v="4"/>
    <x v="56"/>
    <n v="111166.56"/>
    <n v="56783.16"/>
  </r>
  <r>
    <x v="4"/>
    <x v="57"/>
    <n v="120237.95"/>
    <n v="60946.67"/>
  </r>
  <r>
    <x v="4"/>
    <x v="58"/>
    <n v="140225.60000000001"/>
    <n v="88645.82"/>
  </r>
  <r>
    <x v="4"/>
    <x v="59"/>
    <n v="168711.62"/>
    <n v="100304.35"/>
  </r>
  <r>
    <x v="5"/>
    <x v="60"/>
    <n v="142075.07999999999"/>
    <n v="93159.81"/>
  </r>
  <r>
    <x v="5"/>
    <x v="61"/>
    <n v="115140.77"/>
    <n v="76307.64"/>
  </r>
  <r>
    <x v="5"/>
    <x v="62"/>
    <n v="83891.63"/>
    <n v="53206.720000000001"/>
  </r>
  <r>
    <x v="5"/>
    <x v="63"/>
    <n v="89602.48"/>
    <n v="53673.78"/>
  </r>
  <r>
    <x v="5"/>
    <x v="64"/>
    <n v="83754"/>
    <n v="55309.97"/>
  </r>
  <r>
    <x v="5"/>
    <x v="65"/>
    <n v="52381.68"/>
    <n v="33793.97"/>
  </r>
  <r>
    <x v="5"/>
    <x v="66"/>
    <n v="-14679.220000000016"/>
    <n v="-3604.6299999999974"/>
  </r>
  <r>
    <x v="5"/>
    <x v="67"/>
    <n v="76120.490000000005"/>
    <n v="47111.78"/>
  </r>
  <r>
    <x v="5"/>
    <x v="68"/>
    <n v="72067.640000000014"/>
    <n v="45935.990000000005"/>
  </r>
  <r>
    <x v="5"/>
    <x v="69"/>
    <n v="83792.66"/>
    <n v="53458.93"/>
  </r>
  <r>
    <x v="5"/>
    <x v="70"/>
    <n v="97489.49"/>
    <n v="65705.759999999995"/>
  </r>
  <r>
    <x v="5"/>
    <x v="71"/>
    <n v="73107.609999999986"/>
    <n v="50817.680000000008"/>
  </r>
  <r>
    <x v="6"/>
    <x v="72"/>
    <n v="82033.260000000009"/>
    <n v="51743.049999999996"/>
  </r>
  <r>
    <x v="6"/>
    <x v="73"/>
    <n v="52554.64"/>
    <n v="35930.480000000003"/>
  </r>
  <r>
    <x v="6"/>
    <x v="74"/>
    <n v="140675.19"/>
    <n v="85220.68"/>
  </r>
  <r>
    <x v="6"/>
    <x v="75"/>
    <n v="88206.68"/>
    <n v="54717.47"/>
  </r>
  <r>
    <x v="6"/>
    <x v="76"/>
    <n v="83685.140000000014"/>
    <n v="52158.14"/>
  </r>
  <r>
    <x v="6"/>
    <x v="77"/>
    <n v="90832.81"/>
    <n v="54329.55"/>
  </r>
  <r>
    <x v="6"/>
    <x v="78"/>
    <n v="88445.400000000009"/>
    <n v="59428.33"/>
  </r>
  <r>
    <x v="6"/>
    <x v="79"/>
    <n v="68340.97"/>
    <n v="45584"/>
  </r>
  <r>
    <x v="6"/>
    <x v="80"/>
    <n v="104029.43"/>
    <n v="66647.7"/>
  </r>
  <r>
    <x v="6"/>
    <x v="81"/>
    <n v="101245.65"/>
    <n v="64579.119999999995"/>
  </r>
  <r>
    <x v="6"/>
    <x v="82"/>
    <n v="84077.450000000012"/>
    <n v="49613.06"/>
  </r>
  <r>
    <x v="6"/>
    <x v="83"/>
    <n v="112020.49"/>
    <n v="70351.27"/>
  </r>
  <r>
    <x v="7"/>
    <x v="84"/>
    <n v="88864.66"/>
    <n v="56408.99"/>
  </r>
  <r>
    <x v="7"/>
    <x v="85"/>
    <n v="82774.98000000001"/>
    <n v="46910.369999999995"/>
  </r>
  <r>
    <x v="7"/>
    <x v="86"/>
    <n v="109623.26"/>
    <n v="69476.36"/>
  </r>
  <r>
    <x v="7"/>
    <x v="87"/>
    <n v="59282.549999999988"/>
    <n v="40940.700000000004"/>
  </r>
  <r>
    <x v="7"/>
    <x v="88"/>
    <n v="6765.71"/>
    <n v="4399.32"/>
  </r>
  <r>
    <x v="7"/>
    <x v="89"/>
    <n v="68271.66"/>
    <n v="26854.75"/>
  </r>
  <r>
    <x v="7"/>
    <x v="90"/>
    <n v="26161.5"/>
    <n v="16251.210000000003"/>
  </r>
  <r>
    <x v="7"/>
    <x v="91"/>
    <n v="40024.649999999994"/>
    <n v="26216.55"/>
  </r>
  <r>
    <x v="7"/>
    <x v="92"/>
    <n v="56672.639999999999"/>
    <n v="37927.67"/>
  </r>
  <r>
    <x v="7"/>
    <x v="93"/>
    <n v="98918.48000000001"/>
    <n v="61876.619999999995"/>
  </r>
  <r>
    <x v="7"/>
    <x v="94"/>
    <n v="89897.16"/>
    <n v="56216.270000000004"/>
  </r>
  <r>
    <x v="7"/>
    <x v="95"/>
    <n v="80783.48000000001"/>
    <n v="49468.49"/>
  </r>
  <r>
    <x v="8"/>
    <x v="96"/>
    <n v="123596.35999999999"/>
    <n v="65845.06"/>
  </r>
  <r>
    <x v="8"/>
    <x v="97"/>
    <n v="97430.24"/>
    <n v="63239.44"/>
  </r>
  <r>
    <x v="8"/>
    <x v="98"/>
    <n v="99801.73"/>
    <n v="58629.22"/>
  </r>
  <r>
    <x v="8"/>
    <x v="99"/>
    <n v="78351.140000000014"/>
    <n v="49733.46"/>
  </r>
  <r>
    <x v="8"/>
    <x v="100"/>
    <n v="68596.19"/>
    <n v="39784.79"/>
  </r>
  <r>
    <x v="8"/>
    <x v="101"/>
    <n v="56681.66"/>
    <n v="36479.9"/>
  </r>
  <r>
    <x v="8"/>
    <x v="102"/>
    <n v="117853.73000000001"/>
    <n v="73369.299999999988"/>
  </r>
  <r>
    <x v="8"/>
    <x v="103"/>
    <n v="101592.29000000001"/>
    <n v="62675.020000000004"/>
  </r>
  <r>
    <x v="8"/>
    <x v="104"/>
    <n v="60362.7"/>
    <n v="40328.03"/>
  </r>
  <r>
    <x v="8"/>
    <x v="105"/>
    <n v="66260.3"/>
    <n v="44171.54"/>
  </r>
  <r>
    <x v="8"/>
    <x v="106"/>
    <n v="88406.62999999999"/>
    <n v="48490.46"/>
  </r>
  <r>
    <x v="8"/>
    <x v="107"/>
    <n v="83324.91"/>
    <n v="53398.74"/>
  </r>
  <r>
    <x v="9"/>
    <x v="108"/>
    <n v="84175.800000000017"/>
    <n v="51441.440000000002"/>
  </r>
  <r>
    <x v="9"/>
    <x v="109"/>
    <n v="62856.380000000005"/>
    <n v="41509.579999999994"/>
  </r>
  <r>
    <x v="9"/>
    <x v="110"/>
    <n v="70123.320000000007"/>
    <n v="45155.05"/>
  </r>
  <r>
    <x v="9"/>
    <x v="111"/>
    <n v="103313.29999999999"/>
    <n v="67613.63"/>
  </r>
  <r>
    <x v="9"/>
    <x v="112"/>
    <n v="66035.539999999994"/>
    <n v="41213.71"/>
  </r>
  <r>
    <x v="9"/>
    <x v="113"/>
    <n v="75648.600000000006"/>
    <n v="48854.36"/>
  </r>
  <r>
    <x v="9"/>
    <x v="114"/>
    <n v="61218.7"/>
    <n v="42381.89"/>
  </r>
  <r>
    <x v="9"/>
    <x v="115"/>
    <n v="85770.510000000009"/>
    <n v="55262.68"/>
  </r>
  <r>
    <x v="9"/>
    <x v="116"/>
    <n v="86965.419999999984"/>
    <n v="50993.71"/>
  </r>
  <r>
    <x v="9"/>
    <x v="117"/>
    <n v="76160.08"/>
    <n v="48994.3"/>
  </r>
  <r>
    <x v="9"/>
    <x v="118"/>
    <n v="121061.68"/>
    <n v="68997.320000000007"/>
  </r>
  <r>
    <x v="9"/>
    <x v="119"/>
    <n v="83188.73"/>
    <n v="58174.06"/>
  </r>
  <r>
    <x v="10"/>
    <x v="120"/>
    <n v="46150.99"/>
    <n v="32968.620000000003"/>
  </r>
  <r>
    <x v="10"/>
    <x v="121"/>
    <n v="80049.75"/>
    <n v="50762.320000000007"/>
  </r>
  <r>
    <x v="10"/>
    <x v="122"/>
    <n v="99579.68"/>
    <n v="68259.839999999997"/>
  </r>
  <r>
    <x v="10"/>
    <x v="123"/>
    <n v="121982.31"/>
    <n v="66750.87"/>
  </r>
  <r>
    <x v="10"/>
    <x v="124"/>
    <n v="75999.070000000007"/>
    <n v="50608.51"/>
  </r>
  <r>
    <x v="10"/>
    <x v="125"/>
    <n v="86910.579999999987"/>
    <n v="53673.179999999993"/>
  </r>
  <r>
    <x v="10"/>
    <x v="126"/>
    <n v="98477.04"/>
    <n v="54398.38"/>
  </r>
  <r>
    <x v="10"/>
    <x v="127"/>
    <n v="76699.25"/>
    <n v="49901.2"/>
  </r>
  <r>
    <x v="10"/>
    <x v="128"/>
    <n v="81380.28"/>
    <n v="52408.89"/>
  </r>
  <r>
    <x v="10"/>
    <x v="129"/>
    <n v="51117.34"/>
    <n v="34804.979999999996"/>
  </r>
  <r>
    <x v="10"/>
    <x v="130"/>
    <n v="85895.4"/>
    <n v="56636.99"/>
  </r>
  <r>
    <x v="10"/>
    <x v="131"/>
    <n v="93169.15"/>
    <n v="55711.26"/>
  </r>
  <r>
    <x v="11"/>
    <x v="132"/>
    <n v="80360.69"/>
    <n v="49443.39"/>
  </r>
  <r>
    <x v="11"/>
    <x v="133"/>
    <n v="85060.97"/>
    <n v="57013.05"/>
  </r>
  <r>
    <x v="11"/>
    <x v="134"/>
    <n v="76634.600000000006"/>
    <n v="49471.28"/>
  </r>
  <r>
    <x v="11"/>
    <x v="135"/>
    <n v="70029.48"/>
    <n v="47410.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1BDE89-9C9A-4050-B783-4C95335C8DDE}" name="PivotTable20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Year/ Mths">
  <location ref="F1:H60" firstHeaderRow="0" firstDataRow="1" firstDataCol="1"/>
  <pivotFields count="6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5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59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" fld="2" baseField="0" baseItem="0"/>
    <dataField name="Sum of GP" fld="3" baseField="0" baseItem="0"/>
  </dataField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059-AD81-4935-8414-51CD5664A53B}">
  <dimension ref="A1:H145"/>
  <sheetViews>
    <sheetView tabSelected="1" workbookViewId="0">
      <selection activeCell="K6" sqref="K6"/>
    </sheetView>
  </sheetViews>
  <sheetFormatPr defaultRowHeight="14.6" x14ac:dyDescent="0.4"/>
  <cols>
    <col min="1" max="2" width="9.23046875" style="4"/>
    <col min="3" max="4" width="10" bestFit="1" customWidth="1"/>
    <col min="6" max="6" width="12.4609375" bestFit="1" customWidth="1"/>
    <col min="7" max="7" width="11.84375" bestFit="1" customWidth="1"/>
    <col min="8" max="8" width="10.84375" bestFit="1" customWidth="1"/>
    <col min="9" max="31" width="8.07421875" bestFit="1" customWidth="1"/>
    <col min="32" max="32" width="10.69140625" bestFit="1" customWidth="1"/>
    <col min="33" max="34" width="8.84375" bestFit="1" customWidth="1"/>
    <col min="35" max="35" width="7.84375" bestFit="1" customWidth="1"/>
    <col min="36" max="38" width="8.84375" bestFit="1" customWidth="1"/>
    <col min="39" max="39" width="7.84375" bestFit="1" customWidth="1"/>
    <col min="40" max="48" width="8.84375" bestFit="1" customWidth="1"/>
    <col min="49" max="49" width="7.84375" bestFit="1" customWidth="1"/>
    <col min="50" max="54" width="8.84375" bestFit="1" customWidth="1"/>
    <col min="55" max="55" width="5.84375" bestFit="1" customWidth="1"/>
    <col min="56" max="58" width="8.84375" bestFit="1" customWidth="1"/>
    <col min="59" max="59" width="7.84375" bestFit="1" customWidth="1"/>
    <col min="60" max="62" width="8.84375" bestFit="1" customWidth="1"/>
    <col min="63" max="63" width="7.84375" bestFit="1" customWidth="1"/>
    <col min="64" max="68" width="8.84375" bestFit="1" customWidth="1"/>
    <col min="69" max="69" width="7.84375" bestFit="1" customWidth="1"/>
    <col min="70" max="75" width="8.84375" bestFit="1" customWidth="1"/>
    <col min="76" max="76" width="7.84375" bestFit="1" customWidth="1"/>
    <col min="77" max="86" width="8.84375" bestFit="1" customWidth="1"/>
    <col min="87" max="89" width="9.84375" bestFit="1" customWidth="1"/>
    <col min="90" max="90" width="8.84375" bestFit="1" customWidth="1"/>
    <col min="91" max="104" width="9.84375" bestFit="1" customWidth="1"/>
    <col min="105" max="105" width="8.84375" bestFit="1" customWidth="1"/>
    <col min="106" max="114" width="9.84375" bestFit="1" customWidth="1"/>
    <col min="115" max="115" width="8.84375" bestFit="1" customWidth="1"/>
    <col min="116" max="118" width="9.84375" bestFit="1" customWidth="1"/>
    <col min="119" max="119" width="8.84375" bestFit="1" customWidth="1"/>
    <col min="120" max="121" width="9.84375" bestFit="1" customWidth="1"/>
    <col min="122" max="122" width="6.84375" bestFit="1" customWidth="1"/>
    <col min="123" max="125" width="9.84375" bestFit="1" customWidth="1"/>
    <col min="126" max="126" width="6.84375" bestFit="1" customWidth="1"/>
    <col min="127" max="130" width="9.84375" bestFit="1" customWidth="1"/>
    <col min="131" max="131" width="8.84375" bestFit="1" customWidth="1"/>
    <col min="132" max="135" width="9.84375" bestFit="1" customWidth="1"/>
    <col min="136" max="136" width="6.84375" bestFit="1" customWidth="1"/>
    <col min="137" max="142" width="9.84375" bestFit="1" customWidth="1"/>
    <col min="143" max="143" width="5.4609375" bestFit="1" customWidth="1"/>
    <col min="144" max="144" width="6.61328125" bestFit="1" customWidth="1"/>
    <col min="145" max="145" width="10.69140625" bestFit="1" customWidth="1"/>
  </cols>
  <sheetData>
    <row r="1" spans="1:8" x14ac:dyDescent="0.4">
      <c r="A1" s="6" t="s">
        <v>6</v>
      </c>
      <c r="B1" s="6" t="s">
        <v>5</v>
      </c>
      <c r="C1" s="6" t="s">
        <v>0</v>
      </c>
      <c r="D1" s="6" t="s">
        <v>1</v>
      </c>
      <c r="F1" s="1" t="s">
        <v>7</v>
      </c>
      <c r="G1" t="s">
        <v>4</v>
      </c>
      <c r="H1" t="s">
        <v>3</v>
      </c>
    </row>
    <row r="2" spans="1:8" x14ac:dyDescent="0.4">
      <c r="A2" s="7">
        <v>2013</v>
      </c>
      <c r="B2" s="8">
        <v>41275</v>
      </c>
      <c r="C2" s="9">
        <v>48708.31</v>
      </c>
      <c r="D2" s="9">
        <v>32505.78</v>
      </c>
      <c r="F2" s="2">
        <v>2013</v>
      </c>
      <c r="G2" s="3">
        <v>1172799.3900000001</v>
      </c>
      <c r="H2" s="3">
        <v>784638.58</v>
      </c>
    </row>
    <row r="3" spans="1:8" x14ac:dyDescent="0.4">
      <c r="A3" s="7">
        <v>2013</v>
      </c>
      <c r="B3" s="8">
        <v>41306</v>
      </c>
      <c r="C3" s="9">
        <v>35701.65</v>
      </c>
      <c r="D3" s="9">
        <v>23391.93</v>
      </c>
      <c r="F3" s="5" t="s">
        <v>8</v>
      </c>
      <c r="G3" s="3">
        <v>224397.88999999998</v>
      </c>
      <c r="H3" s="3">
        <v>144072.34</v>
      </c>
    </row>
    <row r="4" spans="1:8" x14ac:dyDescent="0.4">
      <c r="A4" s="7">
        <v>2013</v>
      </c>
      <c r="B4" s="8">
        <v>41334</v>
      </c>
      <c r="C4" s="9">
        <v>139987.93</v>
      </c>
      <c r="D4" s="9">
        <v>88174.63</v>
      </c>
      <c r="F4" s="5" t="s">
        <v>9</v>
      </c>
      <c r="G4" s="3">
        <v>241631.38</v>
      </c>
      <c r="H4" s="3">
        <v>168334.99</v>
      </c>
    </row>
    <row r="5" spans="1:8" x14ac:dyDescent="0.4">
      <c r="A5" s="7">
        <v>2013</v>
      </c>
      <c r="B5" s="8">
        <v>41365</v>
      </c>
      <c r="C5" s="9">
        <v>73652.42</v>
      </c>
      <c r="D5" s="9">
        <v>48744.28</v>
      </c>
      <c r="F5" s="5" t="s">
        <v>10</v>
      </c>
      <c r="G5" s="3">
        <v>389774.28</v>
      </c>
      <c r="H5" s="3">
        <v>259674.65</v>
      </c>
    </row>
    <row r="6" spans="1:8" x14ac:dyDescent="0.4">
      <c r="A6" s="7">
        <v>2013</v>
      </c>
      <c r="B6" s="8">
        <v>41395</v>
      </c>
      <c r="C6" s="9">
        <v>85428.66</v>
      </c>
      <c r="D6" s="9">
        <v>60191.06</v>
      </c>
      <c r="F6" s="5" t="s">
        <v>11</v>
      </c>
      <c r="G6" s="3">
        <v>316995.83999999997</v>
      </c>
      <c r="H6" s="3">
        <v>212556.6</v>
      </c>
    </row>
    <row r="7" spans="1:8" x14ac:dyDescent="0.4">
      <c r="A7" s="7">
        <v>2013</v>
      </c>
      <c r="B7" s="8">
        <v>41426</v>
      </c>
      <c r="C7" s="9">
        <v>82550.3</v>
      </c>
      <c r="D7" s="9">
        <v>59399.65</v>
      </c>
      <c r="F7" s="2">
        <v>2014</v>
      </c>
      <c r="G7" s="3">
        <v>1375753.6500000001</v>
      </c>
      <c r="H7" s="3">
        <v>926849.57000000007</v>
      </c>
    </row>
    <row r="8" spans="1:8" x14ac:dyDescent="0.4">
      <c r="A8" s="7">
        <v>2013</v>
      </c>
      <c r="B8" s="8">
        <v>41456</v>
      </c>
      <c r="C8" s="9">
        <v>121919.47</v>
      </c>
      <c r="D8" s="9">
        <v>79542.73</v>
      </c>
      <c r="F8" s="5" t="s">
        <v>8</v>
      </c>
      <c r="G8" s="3">
        <v>255809.07</v>
      </c>
      <c r="H8" s="3">
        <v>173521.08000000002</v>
      </c>
    </row>
    <row r="9" spans="1:8" x14ac:dyDescent="0.4">
      <c r="A9" s="7">
        <v>2013</v>
      </c>
      <c r="B9" s="8">
        <v>41487</v>
      </c>
      <c r="C9" s="9">
        <v>155233.46</v>
      </c>
      <c r="D9" s="9">
        <v>104639.86</v>
      </c>
      <c r="F9" s="5" t="s">
        <v>9</v>
      </c>
      <c r="G9" s="3">
        <v>409826.96</v>
      </c>
      <c r="H9" s="3">
        <v>278353.95</v>
      </c>
    </row>
    <row r="10" spans="1:8" x14ac:dyDescent="0.4">
      <c r="A10" s="7">
        <v>2013</v>
      </c>
      <c r="B10" s="8">
        <v>41518</v>
      </c>
      <c r="C10" s="9">
        <v>112621.35</v>
      </c>
      <c r="D10" s="9">
        <v>75492.06</v>
      </c>
      <c r="F10" s="5" t="s">
        <v>10</v>
      </c>
      <c r="G10" s="3">
        <v>387894.9</v>
      </c>
      <c r="H10" s="3">
        <v>255397.78</v>
      </c>
    </row>
    <row r="11" spans="1:8" x14ac:dyDescent="0.4">
      <c r="A11" s="7">
        <v>2013</v>
      </c>
      <c r="B11" s="8">
        <v>41548</v>
      </c>
      <c r="C11" s="9">
        <v>121498.4</v>
      </c>
      <c r="D11" s="9">
        <v>78651.399999999994</v>
      </c>
      <c r="F11" s="5" t="s">
        <v>11</v>
      </c>
      <c r="G11" s="3">
        <v>322222.71999999997</v>
      </c>
      <c r="H11" s="3">
        <v>219576.76</v>
      </c>
    </row>
    <row r="12" spans="1:8" x14ac:dyDescent="0.4">
      <c r="A12" s="7">
        <v>2013</v>
      </c>
      <c r="B12" s="8">
        <v>41579</v>
      </c>
      <c r="C12" s="9">
        <v>95527.85</v>
      </c>
      <c r="D12" s="9">
        <v>65325.63</v>
      </c>
      <c r="F12" s="2">
        <v>2015</v>
      </c>
      <c r="G12" s="3">
        <v>1824338.7999999998</v>
      </c>
      <c r="H12" s="3">
        <v>1110133.6199999999</v>
      </c>
    </row>
    <row r="13" spans="1:8" x14ac:dyDescent="0.4">
      <c r="A13" s="7">
        <v>2013</v>
      </c>
      <c r="B13" s="8">
        <v>41609</v>
      </c>
      <c r="C13" s="9">
        <v>99969.59</v>
      </c>
      <c r="D13" s="9">
        <v>68579.570000000007</v>
      </c>
      <c r="F13" s="5" t="s">
        <v>8</v>
      </c>
      <c r="G13" s="3">
        <v>473704.91999999993</v>
      </c>
      <c r="H13" s="3">
        <v>326603.20999999996</v>
      </c>
    </row>
    <row r="14" spans="1:8" x14ac:dyDescent="0.4">
      <c r="A14" s="7">
        <v>2014</v>
      </c>
      <c r="B14" s="8">
        <v>41641</v>
      </c>
      <c r="C14" s="9">
        <v>94699.79</v>
      </c>
      <c r="D14" s="9">
        <v>63945.64</v>
      </c>
      <c r="F14" s="5" t="s">
        <v>9</v>
      </c>
      <c r="G14" s="3">
        <v>403882.64</v>
      </c>
      <c r="H14" s="3">
        <v>243853.16</v>
      </c>
    </row>
    <row r="15" spans="1:8" x14ac:dyDescent="0.4">
      <c r="A15" s="7">
        <v>2014</v>
      </c>
      <c r="B15" s="8">
        <v>41672</v>
      </c>
      <c r="C15" s="9">
        <v>90892.77</v>
      </c>
      <c r="D15" s="9">
        <v>62623.27</v>
      </c>
      <c r="F15" s="5" t="s">
        <v>10</v>
      </c>
      <c r="G15" s="3">
        <v>458288.24</v>
      </c>
      <c r="H15" s="3">
        <v>282969.08</v>
      </c>
    </row>
    <row r="16" spans="1:8" x14ac:dyDescent="0.4">
      <c r="A16" s="7">
        <v>2014</v>
      </c>
      <c r="B16" s="8">
        <v>41700</v>
      </c>
      <c r="C16" s="9">
        <v>70216.509999999995</v>
      </c>
      <c r="D16" s="9">
        <v>46952.17</v>
      </c>
      <c r="F16" s="5" t="s">
        <v>11</v>
      </c>
      <c r="G16" s="3">
        <v>488462.99999999994</v>
      </c>
      <c r="H16" s="3">
        <v>256708.16999999998</v>
      </c>
    </row>
    <row r="17" spans="1:8" x14ac:dyDescent="0.4">
      <c r="A17" s="7">
        <v>2014</v>
      </c>
      <c r="B17" s="8">
        <v>41731</v>
      </c>
      <c r="C17" s="9">
        <v>107475.52</v>
      </c>
      <c r="D17" s="9">
        <v>64079.58</v>
      </c>
      <c r="F17" s="2">
        <v>2016</v>
      </c>
      <c r="G17" s="3">
        <v>1777797.28</v>
      </c>
      <c r="H17" s="3">
        <v>1178225.07</v>
      </c>
    </row>
    <row r="18" spans="1:8" x14ac:dyDescent="0.4">
      <c r="A18" s="7">
        <v>2014</v>
      </c>
      <c r="B18" s="8">
        <v>41761</v>
      </c>
      <c r="C18" s="9">
        <v>153510.5</v>
      </c>
      <c r="D18" s="9">
        <v>111935.92</v>
      </c>
      <c r="F18" s="5" t="s">
        <v>8</v>
      </c>
      <c r="G18" s="3">
        <v>557948.54</v>
      </c>
      <c r="H18" s="3">
        <v>357321.86</v>
      </c>
    </row>
    <row r="19" spans="1:8" x14ac:dyDescent="0.4">
      <c r="A19" s="7">
        <v>2014</v>
      </c>
      <c r="B19" s="8">
        <v>41792</v>
      </c>
      <c r="C19" s="9">
        <v>148840.94</v>
      </c>
      <c r="D19" s="9">
        <v>102338.45</v>
      </c>
      <c r="F19" s="5" t="s">
        <v>9</v>
      </c>
      <c r="G19" s="3">
        <v>432319.56999999995</v>
      </c>
      <c r="H19" s="3">
        <v>287338.64</v>
      </c>
    </row>
    <row r="20" spans="1:8" x14ac:dyDescent="0.4">
      <c r="A20" s="7">
        <v>2014</v>
      </c>
      <c r="B20" s="8">
        <v>41822</v>
      </c>
      <c r="C20" s="9">
        <v>140287.18</v>
      </c>
      <c r="D20" s="9">
        <v>93466.57</v>
      </c>
      <c r="F20" s="5" t="s">
        <v>10</v>
      </c>
      <c r="G20" s="3">
        <v>395282.92000000004</v>
      </c>
      <c r="H20" s="3">
        <v>261292.98</v>
      </c>
    </row>
    <row r="21" spans="1:8" x14ac:dyDescent="0.4">
      <c r="A21" s="7">
        <v>2014</v>
      </c>
      <c r="B21" s="8">
        <v>41853</v>
      </c>
      <c r="C21" s="9">
        <v>145613.84</v>
      </c>
      <c r="D21" s="9">
        <v>100127.72</v>
      </c>
      <c r="F21" s="5" t="s">
        <v>11</v>
      </c>
      <c r="G21" s="3">
        <v>392246.25</v>
      </c>
      <c r="H21" s="3">
        <v>272271.59000000003</v>
      </c>
    </row>
    <row r="22" spans="1:8" x14ac:dyDescent="0.4">
      <c r="A22" s="7">
        <v>2014</v>
      </c>
      <c r="B22" s="8">
        <v>41884</v>
      </c>
      <c r="C22" s="9">
        <v>101993.88</v>
      </c>
      <c r="D22" s="9">
        <v>61803.49</v>
      </c>
      <c r="F22" s="2">
        <v>2017</v>
      </c>
      <c r="G22" s="3">
        <v>1402209.5</v>
      </c>
      <c r="H22" s="3">
        <v>863973.41</v>
      </c>
    </row>
    <row r="23" spans="1:8" x14ac:dyDescent="0.4">
      <c r="A23" s="7">
        <v>2014</v>
      </c>
      <c r="B23" s="8">
        <v>41914</v>
      </c>
      <c r="C23" s="9">
        <v>125031.51</v>
      </c>
      <c r="D23" s="9">
        <v>83222.490000000005</v>
      </c>
      <c r="F23" s="5" t="s">
        <v>8</v>
      </c>
      <c r="G23" s="3">
        <v>282789.81</v>
      </c>
      <c r="H23" s="3">
        <v>186605.44</v>
      </c>
    </row>
    <row r="24" spans="1:8" x14ac:dyDescent="0.4">
      <c r="A24" s="7">
        <v>2014</v>
      </c>
      <c r="B24" s="8">
        <v>41945</v>
      </c>
      <c r="C24" s="9">
        <v>74398.73</v>
      </c>
      <c r="D24" s="9">
        <v>51984.76</v>
      </c>
      <c r="F24" s="5" t="s">
        <v>9</v>
      </c>
      <c r="G24" s="3">
        <v>359757.37</v>
      </c>
      <c r="H24" s="3">
        <v>229635.22</v>
      </c>
    </row>
    <row r="25" spans="1:8" x14ac:dyDescent="0.4">
      <c r="A25" s="7">
        <v>2014</v>
      </c>
      <c r="B25" s="8">
        <v>41975</v>
      </c>
      <c r="C25" s="10">
        <v>122792.48</v>
      </c>
      <c r="D25" s="10">
        <v>84369.51</v>
      </c>
      <c r="F25" s="5" t="s">
        <v>10</v>
      </c>
      <c r="G25" s="3">
        <v>330487.15000000002</v>
      </c>
      <c r="H25" s="3">
        <v>197835.91</v>
      </c>
    </row>
    <row r="26" spans="1:8" x14ac:dyDescent="0.4">
      <c r="A26" s="7">
        <v>2015</v>
      </c>
      <c r="B26" s="8">
        <v>42006</v>
      </c>
      <c r="C26" s="11">
        <v>106940.12</v>
      </c>
      <c r="D26" s="11">
        <v>76435.87</v>
      </c>
      <c r="F26" s="5" t="s">
        <v>11</v>
      </c>
      <c r="G26" s="3">
        <v>429175.17</v>
      </c>
      <c r="H26" s="3">
        <v>249896.84</v>
      </c>
    </row>
    <row r="27" spans="1:8" x14ac:dyDescent="0.4">
      <c r="A27" s="7">
        <v>2015</v>
      </c>
      <c r="B27" s="8">
        <v>42037</v>
      </c>
      <c r="C27" s="11">
        <v>220980.96</v>
      </c>
      <c r="D27" s="11">
        <v>154063.19</v>
      </c>
      <c r="F27" s="2">
        <v>2018</v>
      </c>
      <c r="G27" s="3">
        <v>954744.30999999994</v>
      </c>
      <c r="H27" s="3">
        <v>624877.4</v>
      </c>
    </row>
    <row r="28" spans="1:8" x14ac:dyDescent="0.4">
      <c r="A28" s="7">
        <v>2015</v>
      </c>
      <c r="B28" s="8">
        <v>42065</v>
      </c>
      <c r="C28" s="11">
        <v>145783.84</v>
      </c>
      <c r="D28" s="11">
        <v>96104.15</v>
      </c>
      <c r="F28" s="5" t="s">
        <v>8</v>
      </c>
      <c r="G28" s="3">
        <v>341107.48</v>
      </c>
      <c r="H28" s="3">
        <v>222674.17</v>
      </c>
    </row>
    <row r="29" spans="1:8" x14ac:dyDescent="0.4">
      <c r="A29" s="7">
        <v>2015</v>
      </c>
      <c r="B29" s="8">
        <v>42096</v>
      </c>
      <c r="C29" s="11">
        <v>143002.01999999999</v>
      </c>
      <c r="D29" s="11">
        <v>80216.33</v>
      </c>
      <c r="F29" s="5" t="s">
        <v>9</v>
      </c>
      <c r="G29" s="3">
        <v>225738.15999999997</v>
      </c>
      <c r="H29" s="3">
        <v>142777.72</v>
      </c>
    </row>
    <row r="30" spans="1:8" x14ac:dyDescent="0.4">
      <c r="A30" s="7">
        <v>2015</v>
      </c>
      <c r="B30" s="8">
        <v>42126</v>
      </c>
      <c r="C30" s="11">
        <v>182025.75</v>
      </c>
      <c r="D30" s="11">
        <v>108065.48</v>
      </c>
      <c r="F30" s="5" t="s">
        <v>10</v>
      </c>
      <c r="G30" s="3">
        <v>133508.91</v>
      </c>
      <c r="H30" s="3">
        <v>89443.140000000014</v>
      </c>
    </row>
    <row r="31" spans="1:8" x14ac:dyDescent="0.4">
      <c r="A31" s="7">
        <v>2015</v>
      </c>
      <c r="B31" s="8">
        <v>42157</v>
      </c>
      <c r="C31" s="11">
        <v>78854.87</v>
      </c>
      <c r="D31" s="11">
        <v>55571.35</v>
      </c>
      <c r="F31" s="5" t="s">
        <v>11</v>
      </c>
      <c r="G31" s="3">
        <v>254389.76000000001</v>
      </c>
      <c r="H31" s="3">
        <v>169982.37</v>
      </c>
    </row>
    <row r="32" spans="1:8" x14ac:dyDescent="0.4">
      <c r="A32" s="7">
        <v>2015</v>
      </c>
      <c r="B32" s="8">
        <v>42187</v>
      </c>
      <c r="C32" s="11">
        <v>196230.71</v>
      </c>
      <c r="D32" s="11">
        <v>120856.26</v>
      </c>
      <c r="F32" s="2">
        <v>2019</v>
      </c>
      <c r="G32" s="3">
        <v>1096147.1100000001</v>
      </c>
      <c r="H32" s="3">
        <v>690302.85000000009</v>
      </c>
    </row>
    <row r="33" spans="1:8" x14ac:dyDescent="0.4">
      <c r="A33" s="7">
        <v>2015</v>
      </c>
      <c r="B33" s="8">
        <v>42218</v>
      </c>
      <c r="C33" s="11">
        <v>128053.36</v>
      </c>
      <c r="D33" s="11">
        <v>83255.63</v>
      </c>
      <c r="F33" s="5" t="s">
        <v>8</v>
      </c>
      <c r="G33" s="3">
        <v>275263.09000000003</v>
      </c>
      <c r="H33" s="3">
        <v>172894.21</v>
      </c>
    </row>
    <row r="34" spans="1:8" x14ac:dyDescent="0.4">
      <c r="A34" s="7">
        <v>2015</v>
      </c>
      <c r="B34" s="8">
        <v>42249</v>
      </c>
      <c r="C34" s="11">
        <v>134004.17000000001</v>
      </c>
      <c r="D34" s="11">
        <v>78857.19</v>
      </c>
      <c r="F34" s="5" t="s">
        <v>9</v>
      </c>
      <c r="G34" s="3">
        <v>262724.63</v>
      </c>
      <c r="H34" s="3">
        <v>161205.16</v>
      </c>
    </row>
    <row r="35" spans="1:8" x14ac:dyDescent="0.4">
      <c r="A35" s="7">
        <v>2015</v>
      </c>
      <c r="B35" s="8">
        <v>42279</v>
      </c>
      <c r="C35" s="11">
        <v>215405.15</v>
      </c>
      <c r="D35" s="11">
        <v>88398.19</v>
      </c>
      <c r="F35" s="5" t="s">
        <v>10</v>
      </c>
      <c r="G35" s="3">
        <v>260815.8</v>
      </c>
      <c r="H35" s="3">
        <v>171660.03</v>
      </c>
    </row>
    <row r="36" spans="1:8" x14ac:dyDescent="0.4">
      <c r="A36" s="7">
        <v>2015</v>
      </c>
      <c r="B36" s="8">
        <v>42310</v>
      </c>
      <c r="C36" s="11">
        <v>147044.43</v>
      </c>
      <c r="D36" s="11">
        <v>95464.12</v>
      </c>
      <c r="F36" s="5" t="s">
        <v>11</v>
      </c>
      <c r="G36" s="3">
        <v>297343.59000000003</v>
      </c>
      <c r="H36" s="3">
        <v>184543.45</v>
      </c>
    </row>
    <row r="37" spans="1:8" x14ac:dyDescent="0.4">
      <c r="A37" s="7">
        <v>2015</v>
      </c>
      <c r="B37" s="8">
        <v>42340</v>
      </c>
      <c r="C37" s="12">
        <v>126013.42</v>
      </c>
      <c r="D37" s="12">
        <v>72845.86</v>
      </c>
      <c r="F37" s="2">
        <v>2020</v>
      </c>
      <c r="G37" s="3">
        <v>808040.73</v>
      </c>
      <c r="H37" s="3">
        <v>492947.3</v>
      </c>
    </row>
    <row r="38" spans="1:8" x14ac:dyDescent="0.4">
      <c r="A38" s="7">
        <v>2016</v>
      </c>
      <c r="B38" s="8">
        <v>42371</v>
      </c>
      <c r="C38" s="11">
        <v>145537</v>
      </c>
      <c r="D38" s="11">
        <v>100683.73</v>
      </c>
      <c r="F38" s="5" t="s">
        <v>8</v>
      </c>
      <c r="G38" s="3">
        <v>281262.90000000002</v>
      </c>
      <c r="H38" s="3">
        <v>172795.71999999997</v>
      </c>
    </row>
    <row r="39" spans="1:8" x14ac:dyDescent="0.4">
      <c r="A39" s="7">
        <v>2016</v>
      </c>
      <c r="B39" s="8">
        <v>42402</v>
      </c>
      <c r="C39" s="11">
        <f>364870-196000</f>
        <v>168870</v>
      </c>
      <c r="D39" s="11">
        <f>129318.87-18228.49</f>
        <v>111090.37999999999</v>
      </c>
      <c r="F39" s="5" t="s">
        <v>9</v>
      </c>
      <c r="G39" s="3">
        <v>134319.91999999998</v>
      </c>
      <c r="H39" s="3">
        <v>72194.77</v>
      </c>
    </row>
    <row r="40" spans="1:8" x14ac:dyDescent="0.4">
      <c r="A40" s="7">
        <v>2016</v>
      </c>
      <c r="B40" s="8">
        <v>42431</v>
      </c>
      <c r="C40" s="11">
        <f>575729.34-332187.8</f>
        <v>243541.53999999998</v>
      </c>
      <c r="D40" s="11">
        <f>180602.19-35054.44</f>
        <v>145547.75</v>
      </c>
      <c r="F40" s="5" t="s">
        <v>10</v>
      </c>
      <c r="G40" s="3">
        <v>122858.79</v>
      </c>
      <c r="H40" s="3">
        <v>80395.429999999993</v>
      </c>
    </row>
    <row r="41" spans="1:8" x14ac:dyDescent="0.4">
      <c r="A41" s="7">
        <v>2016</v>
      </c>
      <c r="B41" s="8">
        <v>42462</v>
      </c>
      <c r="C41" s="11">
        <v>162810.85</v>
      </c>
      <c r="D41" s="11">
        <v>111485.62</v>
      </c>
      <c r="F41" s="5" t="s">
        <v>11</v>
      </c>
      <c r="G41" s="3">
        <v>269599.12</v>
      </c>
      <c r="H41" s="3">
        <v>167561.38</v>
      </c>
    </row>
    <row r="42" spans="1:8" x14ac:dyDescent="0.4">
      <c r="A42" s="7">
        <v>2016</v>
      </c>
      <c r="B42" s="8">
        <v>42492</v>
      </c>
      <c r="C42" s="11">
        <f>203714-62000</f>
        <v>141714</v>
      </c>
      <c r="D42" s="11">
        <f>99366.61-7277.18</f>
        <v>92089.43</v>
      </c>
      <c r="F42" s="2">
        <v>2021</v>
      </c>
      <c r="G42" s="3">
        <v>1042257.88</v>
      </c>
      <c r="H42" s="3">
        <v>636144.96</v>
      </c>
    </row>
    <row r="43" spans="1:8" x14ac:dyDescent="0.4">
      <c r="A43" s="7">
        <v>2016</v>
      </c>
      <c r="B43" s="8">
        <v>42523</v>
      </c>
      <c r="C43" s="11">
        <v>127794.72</v>
      </c>
      <c r="D43" s="11">
        <v>83763.59</v>
      </c>
      <c r="F43" s="5" t="s">
        <v>8</v>
      </c>
      <c r="G43" s="3">
        <v>320828.32999999996</v>
      </c>
      <c r="H43" s="3">
        <v>187713.72</v>
      </c>
    </row>
    <row r="44" spans="1:8" x14ac:dyDescent="0.4">
      <c r="A44" s="7">
        <v>2016</v>
      </c>
      <c r="B44" s="8">
        <v>42553</v>
      </c>
      <c r="C44" s="11">
        <v>91440.86</v>
      </c>
      <c r="D44" s="11">
        <v>63854.83</v>
      </c>
      <c r="F44" s="5" t="s">
        <v>9</v>
      </c>
      <c r="G44" s="3">
        <v>203628.99000000002</v>
      </c>
      <c r="H44" s="3">
        <v>125998.15</v>
      </c>
    </row>
    <row r="45" spans="1:8" x14ac:dyDescent="0.4">
      <c r="A45" s="7">
        <v>2016</v>
      </c>
      <c r="B45" s="8">
        <v>42584</v>
      </c>
      <c r="C45" s="11">
        <v>134007.26999999999</v>
      </c>
      <c r="D45" s="11">
        <v>91524.52</v>
      </c>
      <c r="F45" s="5" t="s">
        <v>10</v>
      </c>
      <c r="G45" s="3">
        <v>279808.72000000003</v>
      </c>
      <c r="H45" s="3">
        <v>176372.35</v>
      </c>
    </row>
    <row r="46" spans="1:8" x14ac:dyDescent="0.4">
      <c r="A46" s="7">
        <v>2016</v>
      </c>
      <c r="B46" s="8">
        <v>42615</v>
      </c>
      <c r="C46" s="11">
        <v>169834.79</v>
      </c>
      <c r="D46" s="11">
        <v>105913.63</v>
      </c>
      <c r="F46" s="5" t="s">
        <v>11</v>
      </c>
      <c r="G46" s="3">
        <v>237991.84</v>
      </c>
      <c r="H46" s="3">
        <v>146060.74</v>
      </c>
    </row>
    <row r="47" spans="1:8" x14ac:dyDescent="0.4">
      <c r="A47" s="7">
        <v>2016</v>
      </c>
      <c r="B47" s="8">
        <v>42645</v>
      </c>
      <c r="C47" s="11">
        <f>170867.36-52000</f>
        <v>118867.35999999999</v>
      </c>
      <c r="D47" s="11">
        <f>88566.17-7424.01</f>
        <v>81142.16</v>
      </c>
      <c r="F47" s="2">
        <v>2022</v>
      </c>
      <c r="G47" s="3">
        <v>976518.06</v>
      </c>
      <c r="H47" s="3">
        <v>620591.73</v>
      </c>
    </row>
    <row r="48" spans="1:8" x14ac:dyDescent="0.4">
      <c r="A48" s="7">
        <v>2016</v>
      </c>
      <c r="B48" s="8">
        <v>42676</v>
      </c>
      <c r="C48" s="11">
        <f>189356.4-59200</f>
        <v>130156.4</v>
      </c>
      <c r="D48" s="11">
        <f>95170.97-4990.54</f>
        <v>90180.430000000008</v>
      </c>
      <c r="F48" s="5" t="s">
        <v>8</v>
      </c>
      <c r="G48" s="3">
        <v>217155.50000000003</v>
      </c>
      <c r="H48" s="3">
        <v>138106.07</v>
      </c>
    </row>
    <row r="49" spans="1:8" x14ac:dyDescent="0.4">
      <c r="A49" s="7">
        <v>2016</v>
      </c>
      <c r="B49" s="8">
        <v>42706</v>
      </c>
      <c r="C49" s="12">
        <v>143222.49</v>
      </c>
      <c r="D49" s="12">
        <v>100949</v>
      </c>
      <c r="F49" s="5" t="s">
        <v>9</v>
      </c>
      <c r="G49" s="3">
        <v>244997.43999999997</v>
      </c>
      <c r="H49" s="3">
        <v>157681.70000000001</v>
      </c>
    </row>
    <row r="50" spans="1:8" x14ac:dyDescent="0.4">
      <c r="A50" s="7">
        <v>2017</v>
      </c>
      <c r="B50" s="8">
        <v>42737</v>
      </c>
      <c r="C50" s="11">
        <f>168379.15-88800</f>
        <v>79579.149999999994</v>
      </c>
      <c r="D50" s="11">
        <f>60047.23-8137.98</f>
        <v>51909.25</v>
      </c>
      <c r="F50" s="5" t="s">
        <v>10</v>
      </c>
      <c r="G50" s="3">
        <v>233954.63</v>
      </c>
      <c r="H50" s="3">
        <v>148638.28</v>
      </c>
    </row>
    <row r="51" spans="1:8" x14ac:dyDescent="0.4">
      <c r="A51" s="7">
        <v>2017</v>
      </c>
      <c r="B51" s="8">
        <v>42768</v>
      </c>
      <c r="C51" s="11">
        <v>119714.24000000001</v>
      </c>
      <c r="D51" s="11">
        <v>79930.22</v>
      </c>
      <c r="F51" s="5" t="s">
        <v>11</v>
      </c>
      <c r="G51" s="3">
        <v>280410.49</v>
      </c>
      <c r="H51" s="3">
        <v>176165.68</v>
      </c>
    </row>
    <row r="52" spans="1:8" x14ac:dyDescent="0.4">
      <c r="A52" s="7">
        <v>2017</v>
      </c>
      <c r="B52" s="8">
        <v>42796</v>
      </c>
      <c r="C52" s="11">
        <v>83496.42</v>
      </c>
      <c r="D52" s="11">
        <v>54765.97</v>
      </c>
      <c r="F52" s="2">
        <v>2023</v>
      </c>
      <c r="G52" s="3">
        <v>997410.84</v>
      </c>
      <c r="H52" s="3">
        <v>626885.03999999992</v>
      </c>
    </row>
    <row r="53" spans="1:8" x14ac:dyDescent="0.4">
      <c r="A53" s="7">
        <v>2017</v>
      </c>
      <c r="B53" s="8">
        <v>42827</v>
      </c>
      <c r="C53" s="11">
        <v>110019.35</v>
      </c>
      <c r="D53" s="11">
        <v>70523.69</v>
      </c>
      <c r="F53" s="5" t="s">
        <v>8</v>
      </c>
      <c r="G53" s="3">
        <v>225780.41999999998</v>
      </c>
      <c r="H53" s="3">
        <v>151990.78</v>
      </c>
    </row>
    <row r="54" spans="1:8" x14ac:dyDescent="0.4">
      <c r="A54" s="7">
        <v>2017</v>
      </c>
      <c r="B54" s="8">
        <v>42857</v>
      </c>
      <c r="C54" s="11">
        <v>161909.48000000001</v>
      </c>
      <c r="D54" s="11">
        <v>97285.34</v>
      </c>
      <c r="F54" s="5" t="s">
        <v>9</v>
      </c>
      <c r="G54" s="3">
        <v>284891.95999999996</v>
      </c>
      <c r="H54" s="3">
        <v>171032.56</v>
      </c>
    </row>
    <row r="55" spans="1:8" x14ac:dyDescent="0.4">
      <c r="A55" s="7">
        <v>2017</v>
      </c>
      <c r="B55" s="8">
        <v>42888</v>
      </c>
      <c r="C55" s="11">
        <v>87828.54</v>
      </c>
      <c r="D55" s="11">
        <v>61826.19</v>
      </c>
      <c r="F55" s="5" t="s">
        <v>10</v>
      </c>
      <c r="G55" s="3">
        <v>256556.56999999998</v>
      </c>
      <c r="H55" s="3">
        <v>156708.46999999997</v>
      </c>
    </row>
    <row r="56" spans="1:8" x14ac:dyDescent="0.4">
      <c r="A56" s="7">
        <v>2017</v>
      </c>
      <c r="B56" s="8">
        <v>42918</v>
      </c>
      <c r="C56" s="11">
        <v>92926.3</v>
      </c>
      <c r="D56" s="11">
        <v>62702.38</v>
      </c>
      <c r="F56" s="5" t="s">
        <v>11</v>
      </c>
      <c r="G56" s="3">
        <v>230181.88999999998</v>
      </c>
      <c r="H56" s="3">
        <v>147153.23000000001</v>
      </c>
    </row>
    <row r="57" spans="1:8" x14ac:dyDescent="0.4">
      <c r="A57" s="7">
        <v>2017</v>
      </c>
      <c r="B57" s="8">
        <v>42949</v>
      </c>
      <c r="C57" s="11">
        <v>126394.29</v>
      </c>
      <c r="D57" s="11">
        <v>78350.37</v>
      </c>
      <c r="F57" s="2">
        <v>2024</v>
      </c>
      <c r="G57" s="3">
        <v>312085.74</v>
      </c>
      <c r="H57" s="3">
        <v>203338.5</v>
      </c>
    </row>
    <row r="58" spans="1:8" x14ac:dyDescent="0.4">
      <c r="A58" s="7">
        <v>2017</v>
      </c>
      <c r="B58" s="8">
        <v>42980</v>
      </c>
      <c r="C58" s="11">
        <v>111166.56</v>
      </c>
      <c r="D58" s="11">
        <v>56783.16</v>
      </c>
      <c r="F58" s="5" t="s">
        <v>8</v>
      </c>
      <c r="G58" s="3">
        <v>242056.26</v>
      </c>
      <c r="H58" s="3">
        <v>155927.72</v>
      </c>
    </row>
    <row r="59" spans="1:8" x14ac:dyDescent="0.4">
      <c r="A59" s="7">
        <v>2017</v>
      </c>
      <c r="B59" s="8">
        <v>43010</v>
      </c>
      <c r="C59" s="11">
        <v>120237.95</v>
      </c>
      <c r="D59" s="11">
        <v>60946.67</v>
      </c>
      <c r="F59" s="5" t="s">
        <v>9</v>
      </c>
      <c r="G59" s="3">
        <v>70029.48</v>
      </c>
      <c r="H59" s="3">
        <v>47410.78</v>
      </c>
    </row>
    <row r="60" spans="1:8" x14ac:dyDescent="0.4">
      <c r="A60" s="7">
        <v>2017</v>
      </c>
      <c r="B60" s="8">
        <v>43041</v>
      </c>
      <c r="C60" s="11">
        <v>140225.60000000001</v>
      </c>
      <c r="D60" s="11">
        <v>88645.82</v>
      </c>
      <c r="F60" s="2" t="s">
        <v>2</v>
      </c>
      <c r="G60" s="3">
        <v>13740103.290000001</v>
      </c>
      <c r="H60" s="3">
        <v>8758908.0299999993</v>
      </c>
    </row>
    <row r="61" spans="1:8" x14ac:dyDescent="0.4">
      <c r="A61" s="7">
        <v>2017</v>
      </c>
      <c r="B61" s="8">
        <v>43071</v>
      </c>
      <c r="C61" s="12">
        <v>168711.62</v>
      </c>
      <c r="D61" s="12">
        <v>100304.35</v>
      </c>
    </row>
    <row r="62" spans="1:8" x14ac:dyDescent="0.4">
      <c r="A62" s="7">
        <v>2018</v>
      </c>
      <c r="B62" s="8">
        <v>43102</v>
      </c>
      <c r="C62" s="11">
        <v>142075.07999999999</v>
      </c>
      <c r="D62" s="11">
        <v>93159.81</v>
      </c>
    </row>
    <row r="63" spans="1:8" x14ac:dyDescent="0.4">
      <c r="A63" s="7">
        <v>2018</v>
      </c>
      <c r="B63" s="8">
        <v>43133</v>
      </c>
      <c r="C63" s="11">
        <v>115140.77</v>
      </c>
      <c r="D63" s="11">
        <v>76307.64</v>
      </c>
    </row>
    <row r="64" spans="1:8" x14ac:dyDescent="0.4">
      <c r="A64" s="7">
        <v>2018</v>
      </c>
      <c r="B64" s="8">
        <v>43161</v>
      </c>
      <c r="C64" s="11">
        <v>83891.63</v>
      </c>
      <c r="D64" s="11">
        <v>53206.720000000001</v>
      </c>
    </row>
    <row r="65" spans="1:4" x14ac:dyDescent="0.4">
      <c r="A65" s="7">
        <v>2018</v>
      </c>
      <c r="B65" s="8">
        <v>43192</v>
      </c>
      <c r="C65" s="11">
        <v>89602.48</v>
      </c>
      <c r="D65" s="11">
        <v>53673.78</v>
      </c>
    </row>
    <row r="66" spans="1:4" x14ac:dyDescent="0.4">
      <c r="A66" s="7">
        <v>2018</v>
      </c>
      <c r="B66" s="8">
        <v>43222</v>
      </c>
      <c r="C66" s="11">
        <v>83754</v>
      </c>
      <c r="D66" s="11">
        <v>55309.97</v>
      </c>
    </row>
    <row r="67" spans="1:4" x14ac:dyDescent="0.4">
      <c r="A67" s="7">
        <v>2018</v>
      </c>
      <c r="B67" s="8">
        <v>43253</v>
      </c>
      <c r="C67" s="11">
        <v>52381.68</v>
      </c>
      <c r="D67" s="11">
        <v>33793.97</v>
      </c>
    </row>
    <row r="68" spans="1:4" x14ac:dyDescent="0.4">
      <c r="A68" s="7">
        <v>2018</v>
      </c>
      <c r="B68" s="8">
        <v>43283</v>
      </c>
      <c r="C68" s="11">
        <f>68095.76-C87</f>
        <v>-14679.220000000016</v>
      </c>
      <c r="D68" s="11">
        <f>43305.74-D87</f>
        <v>-3604.6299999999974</v>
      </c>
    </row>
    <row r="69" spans="1:4" x14ac:dyDescent="0.4">
      <c r="A69" s="7">
        <v>2018</v>
      </c>
      <c r="B69" s="8">
        <v>43314</v>
      </c>
      <c r="C69" s="11">
        <f>92420.49-16300</f>
        <v>76120.490000000005</v>
      </c>
      <c r="D69" s="11">
        <f>48773.61-1661.83</f>
        <v>47111.78</v>
      </c>
    </row>
    <row r="70" spans="1:4" x14ac:dyDescent="0.4">
      <c r="A70" s="7">
        <v>2018</v>
      </c>
      <c r="B70" s="8">
        <v>43345</v>
      </c>
      <c r="C70" s="11">
        <f>221067.64-149000</f>
        <v>72067.640000000014</v>
      </c>
      <c r="D70" s="11">
        <f>57249.72-11313.73</f>
        <v>45935.990000000005</v>
      </c>
    </row>
    <row r="71" spans="1:4" x14ac:dyDescent="0.4">
      <c r="A71" s="7">
        <v>2018</v>
      </c>
      <c r="B71" s="8">
        <v>43375</v>
      </c>
      <c r="C71" s="11">
        <f>168232.66-84440</f>
        <v>83792.66</v>
      </c>
      <c r="D71" s="11">
        <f>59025.48-5566.55</f>
        <v>53458.93</v>
      </c>
    </row>
    <row r="72" spans="1:4" x14ac:dyDescent="0.4">
      <c r="A72" s="7">
        <v>2018</v>
      </c>
      <c r="B72" s="8">
        <v>43406</v>
      </c>
      <c r="C72" s="11">
        <v>97489.49</v>
      </c>
      <c r="D72" s="11">
        <v>65705.759999999995</v>
      </c>
    </row>
    <row r="73" spans="1:4" x14ac:dyDescent="0.4">
      <c r="A73" s="7">
        <v>2018</v>
      </c>
      <c r="B73" s="8">
        <v>43436</v>
      </c>
      <c r="C73" s="12">
        <f>181107.61-108000</f>
        <v>73107.609999999986</v>
      </c>
      <c r="D73" s="12">
        <f>59600.23-8782.55</f>
        <v>50817.680000000008</v>
      </c>
    </row>
    <row r="74" spans="1:4" x14ac:dyDescent="0.4">
      <c r="A74" s="7">
        <v>2019</v>
      </c>
      <c r="B74" s="8">
        <v>43467</v>
      </c>
      <c r="C74" s="11">
        <f>259093.26-177060</f>
        <v>82033.260000000009</v>
      </c>
      <c r="D74" s="11">
        <f>60648.31-8905.26</f>
        <v>51743.049999999996</v>
      </c>
    </row>
    <row r="75" spans="1:4" x14ac:dyDescent="0.4">
      <c r="A75" s="7">
        <v>2019</v>
      </c>
      <c r="B75" s="8">
        <v>43498</v>
      </c>
      <c r="C75" s="11">
        <f>94554.64-42000</f>
        <v>52554.64</v>
      </c>
      <c r="D75" s="11">
        <f>38279.51-2349.03</f>
        <v>35930.480000000003</v>
      </c>
    </row>
    <row r="76" spans="1:4" x14ac:dyDescent="0.4">
      <c r="A76" s="7">
        <v>2019</v>
      </c>
      <c r="B76" s="8">
        <v>43526</v>
      </c>
      <c r="C76" s="11">
        <f>204635.19-63960</f>
        <v>140675.19</v>
      </c>
      <c r="D76" s="11">
        <f>87450.56-2229.88</f>
        <v>85220.68</v>
      </c>
    </row>
    <row r="77" spans="1:4" x14ac:dyDescent="0.4">
      <c r="A77" s="7">
        <v>2019</v>
      </c>
      <c r="B77" s="8">
        <v>43557</v>
      </c>
      <c r="C77" s="11">
        <v>88206.68</v>
      </c>
      <c r="D77" s="11">
        <v>54717.47</v>
      </c>
    </row>
    <row r="78" spans="1:4" x14ac:dyDescent="0.4">
      <c r="A78" s="7">
        <v>2019</v>
      </c>
      <c r="B78" s="8">
        <v>43587</v>
      </c>
      <c r="C78" s="11">
        <f>254598.54-170913.4</f>
        <v>83685.140000000014</v>
      </c>
      <c r="D78" s="11">
        <f>61070.14-8912</f>
        <v>52158.14</v>
      </c>
    </row>
    <row r="79" spans="1:4" x14ac:dyDescent="0.4">
      <c r="A79" s="7">
        <v>2019</v>
      </c>
      <c r="B79" s="8">
        <v>43618</v>
      </c>
      <c r="C79" s="11">
        <v>90832.81</v>
      </c>
      <c r="D79" s="11">
        <v>54329.55</v>
      </c>
    </row>
    <row r="80" spans="1:4" x14ac:dyDescent="0.4">
      <c r="A80" s="7">
        <v>2019</v>
      </c>
      <c r="B80" s="8">
        <v>43648</v>
      </c>
      <c r="C80" s="11">
        <f>156608.1-68162.7</f>
        <v>88445.400000000009</v>
      </c>
      <c r="D80" s="11">
        <f>65088.55-5660.22</f>
        <v>59428.33</v>
      </c>
    </row>
    <row r="81" spans="1:4" x14ac:dyDescent="0.4">
      <c r="A81" s="7">
        <v>2019</v>
      </c>
      <c r="B81" s="8">
        <v>43679</v>
      </c>
      <c r="C81" s="11">
        <f>70383.62-2042.65</f>
        <v>68340.97</v>
      </c>
      <c r="D81" s="11">
        <f>46132.68-548.68</f>
        <v>45584</v>
      </c>
    </row>
    <row r="82" spans="1:4" x14ac:dyDescent="0.4">
      <c r="A82" s="7">
        <v>2019</v>
      </c>
      <c r="B82" s="8">
        <v>43710</v>
      </c>
      <c r="C82" s="11">
        <f>104367.03-337.6</f>
        <v>104029.43</v>
      </c>
      <c r="D82" s="11">
        <f>66749.05-101.35</f>
        <v>66647.7</v>
      </c>
    </row>
    <row r="83" spans="1:4" x14ac:dyDescent="0.4">
      <c r="A83" s="7">
        <v>2019</v>
      </c>
      <c r="B83" s="8">
        <v>43740</v>
      </c>
      <c r="C83" s="11">
        <f>101457.65-212</f>
        <v>101245.65</v>
      </c>
      <c r="D83" s="11">
        <f>64667.7-88.58</f>
        <v>64579.119999999995</v>
      </c>
    </row>
    <row r="84" spans="1:4" x14ac:dyDescent="0.4">
      <c r="A84" s="7">
        <v>2019</v>
      </c>
      <c r="B84" s="8">
        <v>43771</v>
      </c>
      <c r="C84" s="11">
        <f>84122.35-44.9</f>
        <v>84077.450000000012</v>
      </c>
      <c r="D84" s="11">
        <f>49620.92-7.86</f>
        <v>49613.06</v>
      </c>
    </row>
    <row r="85" spans="1:4" x14ac:dyDescent="0.4">
      <c r="A85" s="7">
        <v>2019</v>
      </c>
      <c r="B85" s="8">
        <v>43801</v>
      </c>
      <c r="C85" s="12">
        <f>112121.49-101</f>
        <v>112020.49</v>
      </c>
      <c r="D85" s="12">
        <f>70378.1-26.83</f>
        <v>70351.27</v>
      </c>
    </row>
    <row r="86" spans="1:4" x14ac:dyDescent="0.4">
      <c r="A86" s="7">
        <v>2020</v>
      </c>
      <c r="B86" s="8">
        <v>43832</v>
      </c>
      <c r="C86" s="11">
        <f>90017.46-1152.8</f>
        <v>88864.66</v>
      </c>
      <c r="D86" s="11">
        <f>56699.5-290.51</f>
        <v>56408.99</v>
      </c>
    </row>
    <row r="87" spans="1:4" x14ac:dyDescent="0.4">
      <c r="A87" s="7">
        <v>2020</v>
      </c>
      <c r="B87" s="8">
        <v>43863</v>
      </c>
      <c r="C87" s="11">
        <f>214251.78-131476.8</f>
        <v>82774.98000000001</v>
      </c>
      <c r="D87" s="11">
        <f>55563.85-8653.48</f>
        <v>46910.369999999995</v>
      </c>
    </row>
    <row r="88" spans="1:4" x14ac:dyDescent="0.4">
      <c r="A88" s="7">
        <v>2020</v>
      </c>
      <c r="B88" s="8">
        <v>43892</v>
      </c>
      <c r="C88" s="11">
        <f>218352.06-108728.8</f>
        <v>109623.26</v>
      </c>
      <c r="D88" s="11">
        <f>78127.89-8651.53</f>
        <v>69476.36</v>
      </c>
    </row>
    <row r="89" spans="1:4" x14ac:dyDescent="0.4">
      <c r="A89" s="7">
        <v>2020</v>
      </c>
      <c r="B89" s="8">
        <v>43923</v>
      </c>
      <c r="C89" s="11">
        <f>133282.55-74000</f>
        <v>59282.549999999988</v>
      </c>
      <c r="D89" s="11">
        <f>49396.76-8456.06</f>
        <v>40940.700000000004</v>
      </c>
    </row>
    <row r="90" spans="1:4" x14ac:dyDescent="0.4">
      <c r="A90" s="7">
        <v>2020</v>
      </c>
      <c r="B90" s="8">
        <v>43953</v>
      </c>
      <c r="C90" s="11">
        <v>6765.71</v>
      </c>
      <c r="D90" s="11">
        <v>4399.32</v>
      </c>
    </row>
    <row r="91" spans="1:4" x14ac:dyDescent="0.4">
      <c r="A91" s="7">
        <v>2020</v>
      </c>
      <c r="B91" s="8">
        <v>43984</v>
      </c>
      <c r="C91" s="11">
        <f>69506.66-1235</f>
        <v>68271.66</v>
      </c>
      <c r="D91" s="11">
        <f>27267.03-412.28</f>
        <v>26854.75</v>
      </c>
    </row>
    <row r="92" spans="1:4" x14ac:dyDescent="0.4">
      <c r="A92" s="7">
        <v>2020</v>
      </c>
      <c r="B92" s="8">
        <v>44014</v>
      </c>
      <c r="C92" s="11">
        <f>41461.5-15300</f>
        <v>26161.5</v>
      </c>
      <c r="D92" s="11">
        <f>17871.08-1619.87</f>
        <v>16251.210000000003</v>
      </c>
    </row>
    <row r="93" spans="1:4" x14ac:dyDescent="0.4">
      <c r="A93" s="7">
        <v>2020</v>
      </c>
      <c r="B93" s="8">
        <v>44045</v>
      </c>
      <c r="C93" s="11">
        <f>70024.65-30000</f>
        <v>40024.649999999994</v>
      </c>
      <c r="D93" s="11">
        <f>30201.51-3984.96</f>
        <v>26216.55</v>
      </c>
    </row>
    <row r="94" spans="1:4" x14ac:dyDescent="0.4">
      <c r="A94" s="7">
        <v>2020</v>
      </c>
      <c r="B94" s="8">
        <v>44076</v>
      </c>
      <c r="C94" s="11">
        <f>84061.26-27388.62</f>
        <v>56672.639999999999</v>
      </c>
      <c r="D94" s="11">
        <f>40836.29-2908.62</f>
        <v>37927.67</v>
      </c>
    </row>
    <row r="95" spans="1:4" x14ac:dyDescent="0.4">
      <c r="A95" s="7">
        <v>2020</v>
      </c>
      <c r="B95" s="8">
        <v>44106</v>
      </c>
      <c r="C95" s="11">
        <f>132876.48-33958</f>
        <v>98918.48000000001</v>
      </c>
      <c r="D95" s="11">
        <f>66846.56-4969.94</f>
        <v>61876.619999999995</v>
      </c>
    </row>
    <row r="96" spans="1:4" x14ac:dyDescent="0.4">
      <c r="A96" s="7">
        <v>2020</v>
      </c>
      <c r="B96" s="8">
        <v>44137</v>
      </c>
      <c r="C96" s="11">
        <f>179397.16-89500</f>
        <v>89897.16</v>
      </c>
      <c r="D96" s="11">
        <f>66631.47-10415.2</f>
        <v>56216.270000000004</v>
      </c>
    </row>
    <row r="97" spans="1:4" x14ac:dyDescent="0.4">
      <c r="A97" s="7">
        <v>2020</v>
      </c>
      <c r="B97" s="8">
        <v>44167</v>
      </c>
      <c r="C97" s="12">
        <f>139983.48-59200</f>
        <v>80783.48000000001</v>
      </c>
      <c r="D97" s="12">
        <f>55955.29-6486.8</f>
        <v>49468.49</v>
      </c>
    </row>
    <row r="98" spans="1:4" x14ac:dyDescent="0.4">
      <c r="A98" s="7">
        <v>2021</v>
      </c>
      <c r="B98" s="8">
        <v>44198</v>
      </c>
      <c r="C98" s="11">
        <f>167996.36-44400</f>
        <v>123596.35999999999</v>
      </c>
      <c r="D98" s="11">
        <f>71399.77-5554.71</f>
        <v>65845.06</v>
      </c>
    </row>
    <row r="99" spans="1:4" x14ac:dyDescent="0.4">
      <c r="A99" s="7">
        <v>2021</v>
      </c>
      <c r="B99" s="8">
        <v>44229</v>
      </c>
      <c r="C99" s="11">
        <v>97430.24</v>
      </c>
      <c r="D99" s="11">
        <v>63239.44</v>
      </c>
    </row>
    <row r="100" spans="1:4" x14ac:dyDescent="0.4">
      <c r="A100" s="7">
        <v>2021</v>
      </c>
      <c r="B100" s="8">
        <v>44257</v>
      </c>
      <c r="C100" s="11">
        <f>177256.53-77454.8</f>
        <v>99801.73</v>
      </c>
      <c r="D100" s="11">
        <f>63967.45-5338.23</f>
        <v>58629.22</v>
      </c>
    </row>
    <row r="101" spans="1:4" x14ac:dyDescent="0.4">
      <c r="A101" s="7">
        <v>2021</v>
      </c>
      <c r="B101" s="8">
        <v>44288</v>
      </c>
      <c r="C101" s="11">
        <f>496686.14-418335</f>
        <v>78351.140000000014</v>
      </c>
      <c r="D101" s="11">
        <f>88742.28-39008.82</f>
        <v>49733.46</v>
      </c>
    </row>
    <row r="102" spans="1:4" x14ac:dyDescent="0.4">
      <c r="A102" s="7">
        <v>2021</v>
      </c>
      <c r="B102" s="8">
        <v>44318</v>
      </c>
      <c r="C102" s="11">
        <f>165796.19-97200</f>
        <v>68596.19</v>
      </c>
      <c r="D102" s="11">
        <f>50044.05-10259.26</f>
        <v>39784.79</v>
      </c>
    </row>
    <row r="103" spans="1:4" x14ac:dyDescent="0.4">
      <c r="A103" s="7">
        <v>2021</v>
      </c>
      <c r="B103" s="8">
        <v>44349</v>
      </c>
      <c r="C103" s="11">
        <v>56681.66</v>
      </c>
      <c r="D103" s="11">
        <v>36479.9</v>
      </c>
    </row>
    <row r="104" spans="1:4" x14ac:dyDescent="0.4">
      <c r="A104" s="7">
        <v>2021</v>
      </c>
      <c r="B104" s="8">
        <v>44379</v>
      </c>
      <c r="C104" s="11">
        <f>256285.98-138432.25</f>
        <v>117853.73000000001</v>
      </c>
      <c r="D104" s="11">
        <f>94276.04-20906.74</f>
        <v>73369.299999999988</v>
      </c>
    </row>
    <row r="105" spans="1:4" x14ac:dyDescent="0.4">
      <c r="A105" s="7">
        <v>2021</v>
      </c>
      <c r="B105" s="8">
        <v>44410</v>
      </c>
      <c r="C105" s="11">
        <f>147129.79-45537.5</f>
        <v>101592.29000000001</v>
      </c>
      <c r="D105" s="11">
        <f>68736.02-6061</f>
        <v>62675.020000000004</v>
      </c>
    </row>
    <row r="106" spans="1:4" x14ac:dyDescent="0.4">
      <c r="A106" s="7">
        <v>2021</v>
      </c>
      <c r="B106" s="8">
        <v>44441</v>
      </c>
      <c r="C106" s="11">
        <f>60411.5-48.8</f>
        <v>60362.7</v>
      </c>
      <c r="D106" s="11">
        <f>40357.89-29.86</f>
        <v>40328.03</v>
      </c>
    </row>
    <row r="107" spans="1:4" x14ac:dyDescent="0.4">
      <c r="A107" s="7">
        <v>2021</v>
      </c>
      <c r="B107" s="8">
        <v>44471</v>
      </c>
      <c r="C107" s="11">
        <f>77260.3-11000</f>
        <v>66260.3</v>
      </c>
      <c r="D107" s="11">
        <f>45603.38-1431.84</f>
        <v>44171.54</v>
      </c>
    </row>
    <row r="108" spans="1:4" x14ac:dyDescent="0.4">
      <c r="A108" s="7">
        <v>2021</v>
      </c>
      <c r="B108" s="8">
        <v>44502</v>
      </c>
      <c r="C108" s="11">
        <f>90203.23-1796.6</f>
        <v>88406.62999999999</v>
      </c>
      <c r="D108" s="11">
        <f>48880.21-389.75</f>
        <v>48490.46</v>
      </c>
    </row>
    <row r="109" spans="1:4" x14ac:dyDescent="0.4">
      <c r="A109" s="7">
        <v>2021</v>
      </c>
      <c r="B109" s="8">
        <v>44532</v>
      </c>
      <c r="C109" s="12">
        <f>85544.31-2219.4</f>
        <v>83324.91</v>
      </c>
      <c r="D109" s="12">
        <f>54147.75-749.01</f>
        <v>53398.74</v>
      </c>
    </row>
    <row r="110" spans="1:4" x14ac:dyDescent="0.4">
      <c r="A110" s="7">
        <v>2022</v>
      </c>
      <c r="B110" s="8">
        <v>44563</v>
      </c>
      <c r="C110" s="11">
        <f>132357.2-48181.4</f>
        <v>84175.800000000017</v>
      </c>
      <c r="D110" s="11">
        <f>65076.53-13635.09</f>
        <v>51441.440000000002</v>
      </c>
    </row>
    <row r="111" spans="1:4" x14ac:dyDescent="0.4">
      <c r="A111" s="7">
        <v>2022</v>
      </c>
      <c r="B111" s="8">
        <v>44594</v>
      </c>
      <c r="C111" s="11">
        <f>297756.38-234900</f>
        <v>62856.380000000005</v>
      </c>
      <c r="D111" s="11">
        <f>76952.81-35443.23</f>
        <v>41509.579999999994</v>
      </c>
    </row>
    <row r="112" spans="1:4" x14ac:dyDescent="0.4">
      <c r="A112" s="7">
        <v>2022</v>
      </c>
      <c r="B112" s="8">
        <v>44622</v>
      </c>
      <c r="C112" s="11">
        <f>175123.32-105000</f>
        <v>70123.320000000007</v>
      </c>
      <c r="D112" s="11">
        <f>45155.05</f>
        <v>45155.05</v>
      </c>
    </row>
    <row r="113" spans="1:4" x14ac:dyDescent="0.4">
      <c r="A113" s="7">
        <v>2022</v>
      </c>
      <c r="B113" s="8">
        <v>44653</v>
      </c>
      <c r="C113" s="11">
        <f>264313.3-161000</f>
        <v>103313.29999999999</v>
      </c>
      <c r="D113" s="11">
        <f>96609.13-28995.5</f>
        <v>67613.63</v>
      </c>
    </row>
    <row r="114" spans="1:4" x14ac:dyDescent="0.4">
      <c r="A114" s="7">
        <v>2022</v>
      </c>
      <c r="B114" s="8">
        <v>44683</v>
      </c>
      <c r="C114" s="11">
        <v>66035.539999999994</v>
      </c>
      <c r="D114" s="11">
        <v>41213.71</v>
      </c>
    </row>
    <row r="115" spans="1:4" x14ac:dyDescent="0.4">
      <c r="A115" s="7">
        <v>2022</v>
      </c>
      <c r="B115" s="8">
        <v>44714</v>
      </c>
      <c r="C115" s="11">
        <f>78033.6-2385</f>
        <v>75648.600000000006</v>
      </c>
      <c r="D115" s="11">
        <f>50185.45-1331.09</f>
        <v>48854.36</v>
      </c>
    </row>
    <row r="116" spans="1:4" x14ac:dyDescent="0.4">
      <c r="A116" s="7">
        <v>2022</v>
      </c>
      <c r="B116" s="8">
        <v>44744</v>
      </c>
      <c r="C116" s="11">
        <f>62218.7-1000</f>
        <v>61218.7</v>
      </c>
      <c r="D116" s="11">
        <f>42852.06-470.17</f>
        <v>42381.89</v>
      </c>
    </row>
    <row r="117" spans="1:4" x14ac:dyDescent="0.4">
      <c r="A117" s="7">
        <v>2022</v>
      </c>
      <c r="B117" s="8">
        <v>44775</v>
      </c>
      <c r="C117" s="11">
        <f>133570.51-47800</f>
        <v>85770.510000000009</v>
      </c>
      <c r="D117" s="11">
        <f>62648.36-7385.68</f>
        <v>55262.68</v>
      </c>
    </row>
    <row r="118" spans="1:4" x14ac:dyDescent="0.4">
      <c r="A118" s="7">
        <v>2022</v>
      </c>
      <c r="B118" s="8">
        <v>44806</v>
      </c>
      <c r="C118" s="11">
        <f>194591.02-107625.6</f>
        <v>86965.419999999984</v>
      </c>
      <c r="D118" s="11">
        <f>68437.39-17443.68</f>
        <v>50993.71</v>
      </c>
    </row>
    <row r="119" spans="1:4" x14ac:dyDescent="0.4">
      <c r="A119" s="7">
        <v>2022</v>
      </c>
      <c r="B119" s="8">
        <v>44836</v>
      </c>
      <c r="C119" s="11">
        <v>76160.08</v>
      </c>
      <c r="D119" s="11">
        <v>48994.3</v>
      </c>
    </row>
    <row r="120" spans="1:4" x14ac:dyDescent="0.4">
      <c r="A120" s="7">
        <v>2022</v>
      </c>
      <c r="B120" s="8">
        <v>44867</v>
      </c>
      <c r="C120" s="11">
        <v>121061.68</v>
      </c>
      <c r="D120" s="11">
        <v>68997.320000000007</v>
      </c>
    </row>
    <row r="121" spans="1:4" x14ac:dyDescent="0.4">
      <c r="A121" s="7">
        <v>2022</v>
      </c>
      <c r="B121" s="8">
        <v>44897</v>
      </c>
      <c r="C121" s="12">
        <f>83288.73-100</f>
        <v>83188.73</v>
      </c>
      <c r="D121" s="12">
        <f>58274.06-100</f>
        <v>58174.06</v>
      </c>
    </row>
    <row r="122" spans="1:4" x14ac:dyDescent="0.4">
      <c r="A122" s="7">
        <v>2023</v>
      </c>
      <c r="B122" s="8">
        <v>44928</v>
      </c>
      <c r="C122" s="11">
        <v>46150.99</v>
      </c>
      <c r="D122" s="11">
        <v>32968.620000000003</v>
      </c>
    </row>
    <row r="123" spans="1:4" x14ac:dyDescent="0.4">
      <c r="A123" s="7">
        <v>2023</v>
      </c>
      <c r="B123" s="8">
        <v>44959</v>
      </c>
      <c r="C123" s="11">
        <f>113084.75-33035</f>
        <v>80049.75</v>
      </c>
      <c r="D123" s="11">
        <f>59919.12-9156.8</f>
        <v>50762.320000000007</v>
      </c>
    </row>
    <row r="124" spans="1:4" x14ac:dyDescent="0.4">
      <c r="A124" s="7">
        <v>2023</v>
      </c>
      <c r="B124" s="8">
        <v>44987</v>
      </c>
      <c r="C124" s="11">
        <f>179079.68-79500</f>
        <v>99579.68</v>
      </c>
      <c r="D124" s="11">
        <f>89503.44-21243.6</f>
        <v>68259.839999999997</v>
      </c>
    </row>
    <row r="125" spans="1:4" x14ac:dyDescent="0.4">
      <c r="A125" s="7">
        <v>2023</v>
      </c>
      <c r="B125" s="8">
        <v>45018</v>
      </c>
      <c r="C125" s="11">
        <f>248040.69-126058.38</f>
        <v>121982.31</v>
      </c>
      <c r="D125" s="11">
        <f>102682.83-35931.96</f>
        <v>66750.87</v>
      </c>
    </row>
    <row r="126" spans="1:4" x14ac:dyDescent="0.4">
      <c r="A126" s="7">
        <v>2023</v>
      </c>
      <c r="B126" s="8">
        <v>45048</v>
      </c>
      <c r="C126" s="11">
        <v>75999.070000000007</v>
      </c>
      <c r="D126" s="11">
        <v>50608.51</v>
      </c>
    </row>
    <row r="127" spans="1:4" x14ac:dyDescent="0.4">
      <c r="A127" s="7">
        <v>2023</v>
      </c>
      <c r="B127" s="8">
        <v>45079</v>
      </c>
      <c r="C127" s="11">
        <f>166410.58-79500</f>
        <v>86910.579999999987</v>
      </c>
      <c r="D127" s="11">
        <f>75513.4-21840.22</f>
        <v>53673.179999999993</v>
      </c>
    </row>
    <row r="128" spans="1:4" x14ac:dyDescent="0.4">
      <c r="A128" s="7">
        <v>2023</v>
      </c>
      <c r="B128" s="8">
        <v>45109</v>
      </c>
      <c r="C128" s="11">
        <v>98477.04</v>
      </c>
      <c r="D128" s="11">
        <v>54398.38</v>
      </c>
    </row>
    <row r="129" spans="1:4" x14ac:dyDescent="0.4">
      <c r="A129" s="7">
        <v>2023</v>
      </c>
      <c r="B129" s="8">
        <v>45140</v>
      </c>
      <c r="C129" s="11">
        <f>188199.25-111500</f>
        <v>76699.25</v>
      </c>
      <c r="D129" s="11">
        <f>81189.9-31288.7</f>
        <v>49901.2</v>
      </c>
    </row>
    <row r="130" spans="1:4" x14ac:dyDescent="0.4">
      <c r="A130" s="7">
        <v>2023</v>
      </c>
      <c r="B130" s="8">
        <v>45171</v>
      </c>
      <c r="C130" s="11">
        <v>81380.28</v>
      </c>
      <c r="D130" s="11">
        <v>52408.89</v>
      </c>
    </row>
    <row r="131" spans="1:4" x14ac:dyDescent="0.4">
      <c r="A131" s="7">
        <v>2023</v>
      </c>
      <c r="B131" s="8">
        <v>45201</v>
      </c>
      <c r="C131" s="11">
        <f>99117.34-48000</f>
        <v>51117.34</v>
      </c>
      <c r="D131" s="11">
        <f>48236.85-13431.87</f>
        <v>34804.979999999996</v>
      </c>
    </row>
    <row r="132" spans="1:4" x14ac:dyDescent="0.4">
      <c r="A132" s="7">
        <v>2023</v>
      </c>
      <c r="B132" s="8">
        <v>45232</v>
      </c>
      <c r="C132" s="11">
        <f>165895.4-80000</f>
        <v>85895.4</v>
      </c>
      <c r="D132" s="11">
        <f>87148.45-30511.46</f>
        <v>56636.99</v>
      </c>
    </row>
    <row r="133" spans="1:4" x14ac:dyDescent="0.4">
      <c r="A133" s="7">
        <v>2023</v>
      </c>
      <c r="B133" s="8">
        <v>45262</v>
      </c>
      <c r="C133" s="12">
        <v>93169.15</v>
      </c>
      <c r="D133" s="12">
        <v>55711.26</v>
      </c>
    </row>
    <row r="134" spans="1:4" x14ac:dyDescent="0.4">
      <c r="A134" s="7">
        <v>2024</v>
      </c>
      <c r="B134" s="8">
        <v>45293</v>
      </c>
      <c r="C134" s="11">
        <f>81595.69-1235</f>
        <v>80360.69</v>
      </c>
      <c r="D134" s="11">
        <f>49984.36-540.97</f>
        <v>49443.39</v>
      </c>
    </row>
    <row r="135" spans="1:4" x14ac:dyDescent="0.4">
      <c r="A135" s="7">
        <v>2024</v>
      </c>
      <c r="B135" s="8">
        <v>45324</v>
      </c>
      <c r="C135" s="11">
        <v>85060.97</v>
      </c>
      <c r="D135" s="11">
        <v>57013.05</v>
      </c>
    </row>
    <row r="136" spans="1:4" x14ac:dyDescent="0.4">
      <c r="A136" s="7">
        <v>2024</v>
      </c>
      <c r="B136" s="8">
        <v>45353</v>
      </c>
      <c r="C136" s="11">
        <v>76634.600000000006</v>
      </c>
      <c r="D136" s="11">
        <v>49471.28</v>
      </c>
    </row>
    <row r="137" spans="1:4" x14ac:dyDescent="0.4">
      <c r="A137" s="7">
        <v>2024</v>
      </c>
      <c r="B137" s="8">
        <v>45386</v>
      </c>
      <c r="C137" s="11">
        <v>70029.48</v>
      </c>
      <c r="D137" s="11">
        <v>47410.78</v>
      </c>
    </row>
    <row r="138" spans="1:4" x14ac:dyDescent="0.4">
      <c r="A138" s="7">
        <v>2024</v>
      </c>
      <c r="B138" s="8">
        <v>45414</v>
      </c>
      <c r="C138" s="11"/>
      <c r="D138" s="11"/>
    </row>
    <row r="139" spans="1:4" x14ac:dyDescent="0.4">
      <c r="A139" s="7">
        <v>2024</v>
      </c>
      <c r="B139" s="8">
        <v>45445</v>
      </c>
      <c r="C139" s="11"/>
      <c r="D139" s="11"/>
    </row>
    <row r="140" spans="1:4" x14ac:dyDescent="0.4">
      <c r="A140" s="7">
        <v>2024</v>
      </c>
      <c r="B140" s="8">
        <v>45475</v>
      </c>
      <c r="C140" s="11"/>
      <c r="D140" s="11"/>
    </row>
    <row r="141" spans="1:4" x14ac:dyDescent="0.4">
      <c r="A141" s="7">
        <v>2024</v>
      </c>
      <c r="B141" s="8">
        <v>45506</v>
      </c>
      <c r="C141" s="11"/>
      <c r="D141" s="11"/>
    </row>
    <row r="142" spans="1:4" x14ac:dyDescent="0.4">
      <c r="A142" s="7">
        <v>2024</v>
      </c>
      <c r="B142" s="8">
        <v>45537</v>
      </c>
      <c r="C142" s="11"/>
      <c r="D142" s="11"/>
    </row>
    <row r="143" spans="1:4" x14ac:dyDescent="0.4">
      <c r="A143" s="7">
        <v>2024</v>
      </c>
      <c r="B143" s="8">
        <v>45567</v>
      </c>
      <c r="C143" s="11"/>
      <c r="D143" s="11"/>
    </row>
    <row r="144" spans="1:4" x14ac:dyDescent="0.4">
      <c r="A144" s="7">
        <v>2024</v>
      </c>
      <c r="B144" s="8">
        <v>45598</v>
      </c>
      <c r="C144" s="11"/>
      <c r="D144" s="11"/>
    </row>
    <row r="145" spans="1:4" x14ac:dyDescent="0.4">
      <c r="A145" s="7">
        <v>2024</v>
      </c>
      <c r="B145" s="8">
        <v>45628</v>
      </c>
      <c r="C145" s="12"/>
      <c r="D145" s="12"/>
    </row>
  </sheetData>
  <conditionalFormatting sqref="B2:B25">
    <cfRule type="timePeriod" dxfId="3" priority="5" timePeriod="lastWeek">
      <formula>AND(TODAY()-ROUNDDOWN(B2,0)&gt;=(WEEKDAY(TODAY())),TODAY()-ROUNDDOWN(B2,0)&lt;(WEEKDAY(TODAY())+7))</formula>
    </cfRule>
    <cfRule type="timePeriod" dxfId="2" priority="6" timePeriod="lastMonth">
      <formula>AND(MONTH(B2)=MONTH(EDATE(TODAY(),0-1)),YEAR(B2)=YEAR(EDATE(TODAY(),0-1)))</formula>
    </cfRule>
  </conditionalFormatting>
  <conditionalFormatting sqref="B26:B145">
    <cfRule type="timePeriod" dxfId="1" priority="1" timePeriod="lastWeek">
      <formula>AND(TODAY()-ROUNDDOWN(B26,0)&gt;=(WEEKDAY(TODAY())),TODAY()-ROUNDDOWN(B26,0)&lt;(WEEKDAY(TODAY())+7))</formula>
    </cfRule>
    <cfRule type="timePeriod" dxfId="0" priority="2" timePeriod="lastMonth">
      <formula>AND(MONTH(B26)=MONTH(EDATE(TODAY(),0-1)),YEAR(B26)=YEAR(EDATE(TODAY(),0-1)))</formula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Patson Tan</dc:creator>
  <cp:lastModifiedBy>Patson Tan</cp:lastModifiedBy>
  <dcterms:created xsi:type="dcterms:W3CDTF">2024-05-27T04:50:02Z</dcterms:created>
  <dcterms:modified xsi:type="dcterms:W3CDTF">2024-05-28T03:53:19Z</dcterms:modified>
</cp:coreProperties>
</file>