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brockman/Downloads/"/>
    </mc:Choice>
  </mc:AlternateContent>
  <xr:revisionPtr revIDLastSave="0" documentId="8_{BD353F28-4D27-054C-9089-6032020EFDD8}" xr6:coauthVersionLast="47" xr6:coauthVersionMax="47" xr10:uidLastSave="{00000000-0000-0000-0000-000000000000}"/>
  <bookViews>
    <workbookView xWindow="380" yWindow="500" windowWidth="28040" windowHeight="16280" activeTab="1" xr2:uid="{CAC467E2-F96A-684F-9F60-2F1F7A7B4132}"/>
  </bookViews>
  <sheets>
    <sheet name="Scenario Summary" sheetId="2" r:id="rId1"/>
    <sheet name="Replacement Analysis" sheetId="1" r:id="rId2"/>
    <sheet name="FVCA" sheetId="3" r:id="rId3"/>
  </sheets>
  <externalReferences>
    <externalReference r:id="rId4"/>
  </externalReferences>
  <definedNames>
    <definedName name="Defects">'Replacement Analysis'!$C$15</definedName>
    <definedName name="Discounted_Payback">'Replacement Analysis'!$B$26</definedName>
    <definedName name="IRR">'Replacement Analysis'!$B$29</definedName>
    <definedName name="Maintenance">'Replacement Analysis'!$C$14</definedName>
    <definedName name="MIRR">'Replacement Analysis'!$B$30</definedName>
    <definedName name="NPV">'Replacement Analysis'!$B$27</definedName>
    <definedName name="Payback_Period">'Replacement Analysis'!$B$25</definedName>
    <definedName name="PI">'Replacement Analysis'!$B$28</definedName>
    <definedName name="solver_adj" localSheetId="2" hidden="1">FVCA!$D$4:$D$16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itr" localSheetId="2" hidden="1">500</definedName>
    <definedName name="solver_lhs1" localSheetId="2" hidden="1">FVCA!$B$17</definedName>
    <definedName name="solver_lhs2" localSheetId="2" hidden="1">FVCA!$D$4:$D$16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opt" localSheetId="2" hidden="1">FVCA!$C$17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5</definedName>
    <definedName name="solver_rhs1" localSheetId="2" hidden="1">FVCA!$B$18</definedName>
    <definedName name="solver_rhs2" localSheetId="2" hidden="1">"binary"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3" l="1"/>
  <c r="C17" i="3" a="1"/>
  <c r="C17" i="3" s="1"/>
  <c r="B17" i="3" a="1"/>
  <c r="B17" i="3" s="1"/>
  <c r="D17" i="3"/>
  <c r="M12" i="1"/>
  <c r="L12" i="1"/>
  <c r="K12" i="1"/>
  <c r="J12" i="1"/>
  <c r="I12" i="1"/>
  <c r="C12" i="1"/>
  <c r="C10" i="1" s="1"/>
  <c r="B12" i="1"/>
  <c r="B10" i="1" s="1"/>
  <c r="B19" i="1" s="1"/>
  <c r="D19" i="1" s="1"/>
  <c r="D15" i="1"/>
  <c r="D14" i="1"/>
  <c r="D13" i="1"/>
  <c r="B20" i="1" l="1"/>
  <c r="B23" i="1"/>
  <c r="D12" i="1"/>
  <c r="B21" i="1" s="1"/>
  <c r="B26" i="1" a="1"/>
  <c r="B22" i="1" l="1"/>
  <c r="B26" i="1"/>
  <c r="B25" i="1" l="1"/>
  <c r="D24" i="1"/>
  <c r="D23" i="1"/>
  <c r="D22" i="1"/>
  <c r="D21" i="1"/>
  <c r="D20" i="1"/>
  <c r="B40" i="1" l="1"/>
  <c r="B29" i="1"/>
  <c r="B27" i="1"/>
  <c r="B28" i="1" s="1"/>
  <c r="B41" i="1"/>
  <c r="B36" i="1"/>
  <c r="E24" i="1"/>
  <c r="B30" i="1"/>
  <c r="B44" i="1"/>
  <c r="B39" i="1"/>
  <c r="B37" i="1"/>
  <c r="B38" i="1"/>
  <c r="E22" i="1"/>
  <c r="E23" i="1"/>
  <c r="E21" i="1"/>
  <c r="B43" i="1"/>
  <c r="E20" i="1"/>
  <c r="B42" i="1"/>
  <c r="E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<sst xmlns="http://schemas.openxmlformats.org/spreadsheetml/2006/main" count="80" uniqueCount="71">
  <si>
    <t>The Supreme Shoe Company</t>
  </si>
  <si>
    <t>Replacement Analysis</t>
  </si>
  <si>
    <t>Price</t>
  </si>
  <si>
    <t>Shipping and Install</t>
  </si>
  <si>
    <t>Original Life</t>
  </si>
  <si>
    <t>Current Life</t>
  </si>
  <si>
    <t>Original Salvage Value</t>
  </si>
  <si>
    <t>Current Salvlage Value</t>
  </si>
  <si>
    <t>Book Value</t>
  </si>
  <si>
    <t>Increase in Raw Materials</t>
  </si>
  <si>
    <t>Depreciation</t>
  </si>
  <si>
    <t>Salaries</t>
  </si>
  <si>
    <t>Maintenance</t>
  </si>
  <si>
    <t>Defects</t>
  </si>
  <si>
    <t>Marginal Tax Rate</t>
  </si>
  <si>
    <t>Required Return</t>
  </si>
  <si>
    <t>Old Machine</t>
  </si>
  <si>
    <t>New Machine</t>
  </si>
  <si>
    <t>Difference</t>
  </si>
  <si>
    <t>MACRS Calculations</t>
  </si>
  <si>
    <t>Class</t>
  </si>
  <si>
    <t>Depreciable Base</t>
  </si>
  <si>
    <t>Year</t>
  </si>
  <si>
    <t>Initial Outlay</t>
  </si>
  <si>
    <t>Annual After-Tax Savings</t>
  </si>
  <si>
    <t>Depreciation Tas Benefit</t>
  </si>
  <si>
    <t>Total ATCF</t>
  </si>
  <si>
    <t>Terminal Cash Flow</t>
  </si>
  <si>
    <t>Cash Flows</t>
  </si>
  <si>
    <t>Payback Period</t>
  </si>
  <si>
    <t>Period</t>
  </si>
  <si>
    <t>Payback</t>
  </si>
  <si>
    <t>NPV Profile Data</t>
  </si>
  <si>
    <t>NPV</t>
  </si>
  <si>
    <t>Payback_Period</t>
  </si>
  <si>
    <t>Discounted_Payback</t>
  </si>
  <si>
    <t>PI</t>
  </si>
  <si>
    <t>IRR</t>
  </si>
  <si>
    <t>MIRR</t>
  </si>
  <si>
    <t>Best Case</t>
  </si>
  <si>
    <t>Created by Brockman,Patricia L on 8/1/2021</t>
  </si>
  <si>
    <t>Expected Case</t>
  </si>
  <si>
    <t>Worst Case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</si>
  <si>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</si>
  <si>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</si>
  <si>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</si>
  <si>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</si>
  <si>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</si>
  <si>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</si>
  <si>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</si>
  <si>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The Optimal Capital Budget</t>
  </si>
  <si>
    <t>Under Capital Rationing</t>
  </si>
  <si>
    <t>Project</t>
  </si>
  <si>
    <t>Cost</t>
  </si>
  <si>
    <t>Include</t>
  </si>
  <si>
    <t>A</t>
  </si>
  <si>
    <t>B</t>
  </si>
  <si>
    <t>C</t>
  </si>
  <si>
    <t>D</t>
  </si>
  <si>
    <t>E</t>
  </si>
  <si>
    <t>F</t>
  </si>
  <si>
    <t>G</t>
  </si>
  <si>
    <t>I</t>
  </si>
  <si>
    <t>H</t>
  </si>
  <si>
    <t>J</t>
  </si>
  <si>
    <t>K</t>
  </si>
  <si>
    <t>L</t>
  </si>
  <si>
    <t>M</t>
  </si>
  <si>
    <t>Total</t>
  </si>
  <si>
    <t>Constraint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</si>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</sst>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2" fillId="0" borderId="0" xfId="0" applyFont="1"/>
    <xf numFmtId="3" fontId="0" fillId="0" borderId="0" xfId="0" applyNumberFormat="1"/>
    <xf numFmtId="10" fontId="0" fillId="0" borderId="0" xfId="0" applyNumberFormat="1"/>
    <xf numFmtId="37" fontId="0" fillId="0" borderId="0" xfId="0" applyNumberFormat="1"/>
    <xf numFmtId="0" fontId="0" fillId="0" borderId="0" xfId="0" applyAlignment="1">
      <alignment horizontal="centerContinuous"/>
    </xf>
    <xf numFmtId="0" fontId="0" fillId="2" borderId="2" xfId="0" applyFill="1" applyBorder="1"/>
    <xf numFmtId="8" fontId="0" fillId="0" borderId="0" xfId="0" applyNumberFormat="1"/>
    <xf numFmtId="0" fontId="0" fillId="0" borderId="0" xfId="0" applyAlignment="1">
      <alignment horizontal="left" indent="1"/>
    </xf>
    <xf numFmtId="2" fontId="0" fillId="0" borderId="0" xfId="0" applyNumberFormat="1"/>
    <xf numFmtId="4" fontId="0" fillId="0" borderId="0" xfId="0" applyNumberFormat="1"/>
    <xf numFmtId="9" fontId="0" fillId="0" borderId="0" xfId="0" applyNumberFormat="1"/>
    <xf numFmtId="7" fontId="0" fillId="0" borderId="0" xfId="0" applyNumberFormat="1"/>
    <xf numFmtId="0" fontId="0" fillId="0" borderId="0" xfId="0" applyFill="1" applyBorder="1" applyAlignment="1"/>
    <xf numFmtId="37" fontId="0" fillId="0" borderId="0" xfId="0" applyNumberFormat="1" applyFill="1" applyBorder="1" applyAlignment="1"/>
    <xf numFmtId="2" fontId="0" fillId="0" borderId="0" xfId="0" applyNumberFormat="1" applyFill="1" applyBorder="1" applyAlignment="1"/>
    <xf numFmtId="4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4" xfId="0" applyNumberFormat="1" applyFill="1" applyBorder="1" applyAlignment="1"/>
    <xf numFmtId="0" fontId="3" fillId="3" borderId="5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0" borderId="6" xfId="0" applyFill="1" applyBorder="1" applyAlignment="1"/>
    <xf numFmtId="0" fontId="4" fillId="4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right"/>
    </xf>
    <xf numFmtId="0" fontId="6" fillId="3" borderId="5" xfId="0" applyFont="1" applyFill="1" applyBorder="1" applyAlignment="1">
      <alignment horizontal="right"/>
    </xf>
    <xf numFmtId="37" fontId="0" fillId="5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centerContinuous"/>
    </xf>
    <xf numFmtId="0" fontId="0" fillId="0" borderId="1" xfId="0" applyFont="1" applyBorder="1" applyAlignment="1">
      <alignment horizontal="centerContinuous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Profile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'Replacement Analysis'!$A$36:$A$44</c:f>
              <c:numCache>
                <c:formatCode>0%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</c:numCache>
            </c:numRef>
          </c:xVal>
          <c:yVal>
            <c:numRef>
              <c:f>'Replacement Analysis'!$B$36:$B$44</c:f>
              <c:numCache>
                <c:formatCode>"$"#,##0.00_);\("$"#,##0.00\)</c:formatCode>
                <c:ptCount val="9"/>
                <c:pt idx="0">
                  <c:v>87000</c:v>
                </c:pt>
                <c:pt idx="1">
                  <c:v>65468.707434022799</c:v>
                </c:pt>
                <c:pt idx="2">
                  <c:v>48374.275850506951</c:v>
                </c:pt>
                <c:pt idx="3">
                  <c:v>34610.860313069119</c:v>
                </c:pt>
                <c:pt idx="4">
                  <c:v>23386.895576131705</c:v>
                </c:pt>
                <c:pt idx="5">
                  <c:v>14126.304000000004</c:v>
                </c:pt>
                <c:pt idx="6">
                  <c:v>6403.407820777662</c:v>
                </c:pt>
                <c:pt idx="7">
                  <c:v>-100.77154308688478</c:v>
                </c:pt>
                <c:pt idx="8">
                  <c:v>-5628.369131909305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9-F949-ADC0-DC772F273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721152"/>
        <c:axId val="1627186639"/>
      </c:scatterChart>
      <c:valAx>
        <c:axId val="92372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186639"/>
        <c:crosses val="autoZero"/>
        <c:crossBetween val="midCat"/>
      </c:valAx>
      <c:valAx>
        <c:axId val="162718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2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31</xdr:row>
      <xdr:rowOff>158750</xdr:rowOff>
    </xdr:from>
    <xdr:to>
      <xdr:col>8</xdr:col>
      <xdr:colOff>222250</xdr:colOff>
      <xdr:row>45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6CE331-E649-B644-9308-4160779E7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wmissouri-my.sharepoint.com/Users/patriciabrockman/Downloads/FameFncs%20(2)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S Table"/>
      <sheetName val="FameFncs (2)"/>
    </sheetNames>
    <definedNames>
      <definedName name="FAME_Payback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5E96-7760-4646-8E23-8D19CA760FFD}">
  <sheetPr>
    <outlinePr summaryBelow="0"/>
  </sheetPr>
  <dimension ref="B1:G17"/>
  <sheetViews>
    <sheetView showGridLines="0" workbookViewId="0"/>
  </sheetViews>
  <sheetFormatPr baseColWidth="10" defaultRowHeight="16" outlineLevelRow="1" outlineLevelCol="1" x14ac:dyDescent="0.2"/>
  <cols>
    <col min="3" max="3" width="18.33203125" bestFit="1" customWidth="1"/>
    <col min="4" max="7" width="12.6640625" bestFit="1" customWidth="1" outlineLevel="1"/>
  </cols>
  <sheetData>
    <row r="1" spans="2:7" ht="17" thickBot="1" x14ac:dyDescent="0.25"/>
    <row r="2" spans="2:7" ht="19" x14ac:dyDescent="0.25">
      <c r="B2" s="23" t="s">
        <v>43</v>
      </c>
      <c r="C2" s="23"/>
      <c r="D2" s="28"/>
      <c r="E2" s="28"/>
      <c r="F2" s="28"/>
      <c r="G2" s="28"/>
    </row>
    <row r="3" spans="2:7" ht="19" collapsed="1" x14ac:dyDescent="0.25">
      <c r="B3" s="22"/>
      <c r="C3" s="22"/>
      <c r="D3" s="29" t="s">
        <v>45</v>
      </c>
      <c r="E3" s="29" t="s">
        <v>39</v>
      </c>
      <c r="F3" s="29" t="s">
        <v>41</v>
      </c>
      <c r="G3" s="29" t="s">
        <v>42</v>
      </c>
    </row>
    <row r="4" spans="2:7" ht="36" hidden="1" outlineLevel="1" x14ac:dyDescent="0.2">
      <c r="B4" s="25"/>
      <c r="C4" s="25"/>
      <c r="D4" s="16"/>
      <c r="E4" s="31" t="s">
        <v>40</v>
      </c>
      <c r="F4" s="31" t="s">
        <v>40</v>
      </c>
      <c r="G4" s="31" t="s">
        <v>40</v>
      </c>
    </row>
    <row r="5" spans="2:7" x14ac:dyDescent="0.2">
      <c r="B5" s="26" t="s">
        <v>44</v>
      </c>
      <c r="C5" s="26"/>
      <c r="D5" s="24"/>
      <c r="E5" s="24"/>
      <c r="F5" s="24"/>
      <c r="G5" s="24"/>
    </row>
    <row r="6" spans="2:7" outlineLevel="1" x14ac:dyDescent="0.2">
      <c r="B6" s="25"/>
      <c r="C6" s="25" t="s">
        <v>12</v>
      </c>
      <c r="D6" s="17">
        <v>5000</v>
      </c>
      <c r="E6" s="30">
        <v>2000</v>
      </c>
      <c r="F6" s="30">
        <v>5000</v>
      </c>
      <c r="G6" s="30">
        <v>8000</v>
      </c>
    </row>
    <row r="7" spans="2:7" outlineLevel="1" x14ac:dyDescent="0.2">
      <c r="B7" s="25"/>
      <c r="C7" s="25" t="s">
        <v>13</v>
      </c>
      <c r="D7" s="17">
        <v>2000</v>
      </c>
      <c r="E7" s="30">
        <v>1000</v>
      </c>
      <c r="F7" s="30">
        <v>2000</v>
      </c>
      <c r="G7" s="30">
        <v>5000</v>
      </c>
    </row>
    <row r="8" spans="2:7" x14ac:dyDescent="0.2">
      <c r="B8" s="26" t="s">
        <v>46</v>
      </c>
      <c r="C8" s="26"/>
      <c r="D8" s="24"/>
      <c r="E8" s="24"/>
      <c r="F8" s="24"/>
      <c r="G8" s="24"/>
    </row>
    <row r="9" spans="2:7" outlineLevel="1" x14ac:dyDescent="0.2">
      <c r="B9" s="25"/>
      <c r="C9" s="25" t="s">
        <v>34</v>
      </c>
      <c r="D9" s="18">
        <v>2.3764258555133102</v>
      </c>
      <c r="E9" s="18">
        <v>2.1331058020477802</v>
      </c>
      <c r="F9" s="18">
        <v>2.3764258555133102</v>
      </c>
      <c r="G9" s="18">
        <v>2.8669724770642202</v>
      </c>
    </row>
    <row r="10" spans="2:7" outlineLevel="1" x14ac:dyDescent="0.2">
      <c r="B10" s="25"/>
      <c r="C10" s="25" t="s">
        <v>35</v>
      </c>
      <c r="D10" s="18">
        <v>3.1630086268173598</v>
      </c>
      <c r="E10" s="18">
        <v>2.7716872263208598</v>
      </c>
      <c r="F10" s="18">
        <v>3.1630086268173598</v>
      </c>
      <c r="G10" s="18">
        <v>4.0132138081977597</v>
      </c>
    </row>
    <row r="11" spans="2:7" outlineLevel="1" x14ac:dyDescent="0.2">
      <c r="B11" s="25"/>
      <c r="C11" s="25" t="s">
        <v>33</v>
      </c>
      <c r="D11" s="19">
        <v>34610.860313069097</v>
      </c>
      <c r="E11" s="19">
        <v>44667.325607103303</v>
      </c>
      <c r="F11" s="19">
        <v>34610.860313069097</v>
      </c>
      <c r="G11" s="19">
        <v>19526.162372017799</v>
      </c>
    </row>
    <row r="12" spans="2:7" outlineLevel="1" x14ac:dyDescent="0.2">
      <c r="B12" s="25"/>
      <c r="C12" s="25" t="s">
        <v>36</v>
      </c>
      <c r="D12" s="18">
        <v>1.5537737650091099</v>
      </c>
      <c r="E12" s="18">
        <v>1.71467720971365</v>
      </c>
      <c r="F12" s="18">
        <v>1.5537737650091099</v>
      </c>
      <c r="G12" s="18">
        <v>1.31241859795228</v>
      </c>
    </row>
    <row r="13" spans="2:7" outlineLevel="1" x14ac:dyDescent="0.2">
      <c r="B13" s="25"/>
      <c r="C13" s="25" t="s">
        <v>37</v>
      </c>
      <c r="D13" s="20">
        <v>0.34915869027607499</v>
      </c>
      <c r="E13" s="20">
        <v>0.40427321651600101</v>
      </c>
      <c r="F13" s="20">
        <v>0.34915869027607499</v>
      </c>
      <c r="G13" s="20">
        <v>0.26445214160514202</v>
      </c>
    </row>
    <row r="14" spans="2:7" ht="17" outlineLevel="1" thickBot="1" x14ac:dyDescent="0.25">
      <c r="B14" s="27"/>
      <c r="C14" s="27" t="s">
        <v>38</v>
      </c>
      <c r="D14" s="21">
        <v>0.25595881156983702</v>
      </c>
      <c r="E14" s="21">
        <v>0.28095630437375702</v>
      </c>
      <c r="F14" s="21">
        <v>0.25595881156983702</v>
      </c>
      <c r="G14" s="21">
        <v>0.21426175244499199</v>
      </c>
    </row>
    <row r="15" spans="2:7" x14ac:dyDescent="0.2">
      <c r="B15" t="s">
        <v>47</v>
      </c>
    </row>
    <row r="16" spans="2:7" x14ac:dyDescent="0.2">
      <c r="B16" t="s">
        <v>48</v>
      </c>
    </row>
    <row r="17" spans="2:2" x14ac:dyDescent="0.2">
      <c r="B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B117-90FF-EE47-8253-E674909E323D}">
  <dimension ref="A1:M44"/>
  <sheetViews>
    <sheetView tabSelected="1" workbookViewId="0">
      <selection activeCell="E25" sqref="E25"/>
    </sheetView>
  </sheetViews>
  <sheetFormatPr baseColWidth="10" defaultRowHeight="16" x14ac:dyDescent="0.2"/>
  <cols>
    <col min="1" max="1" width="22.83203125" bestFit="1" customWidth="1"/>
    <col min="2" max="2" width="18" bestFit="1" customWidth="1"/>
    <col min="3" max="3" width="12.5" bestFit="1" customWidth="1"/>
    <col min="4" max="4" width="9.6640625" bestFit="1" customWidth="1"/>
    <col min="8" max="8" width="17.6640625" bestFit="1" customWidth="1"/>
  </cols>
  <sheetData>
    <row r="1" spans="1:13" x14ac:dyDescent="0.2">
      <c r="A1" s="2" t="s">
        <v>0</v>
      </c>
      <c r="B1" s="2"/>
      <c r="C1" s="2"/>
      <c r="D1" s="2"/>
    </row>
    <row r="2" spans="1:13" ht="17" thickBot="1" x14ac:dyDescent="0.25">
      <c r="A2" s="3" t="s">
        <v>1</v>
      </c>
      <c r="B2" s="3"/>
      <c r="C2" s="3"/>
      <c r="D2" s="3"/>
    </row>
    <row r="3" spans="1:13" ht="17" thickTop="1" x14ac:dyDescent="0.2">
      <c r="B3" s="4" t="s">
        <v>16</v>
      </c>
      <c r="C3" s="4" t="s">
        <v>17</v>
      </c>
      <c r="D3" s="4" t="s">
        <v>18</v>
      </c>
    </row>
    <row r="4" spans="1:13" x14ac:dyDescent="0.2">
      <c r="A4" t="s">
        <v>2</v>
      </c>
      <c r="B4" s="7">
        <v>40000</v>
      </c>
      <c r="C4" s="7">
        <v>75000</v>
      </c>
      <c r="D4" s="7"/>
    </row>
    <row r="5" spans="1:13" x14ac:dyDescent="0.2">
      <c r="A5" t="s">
        <v>3</v>
      </c>
      <c r="B5" s="7">
        <v>0</v>
      </c>
      <c r="C5" s="7">
        <v>6000</v>
      </c>
      <c r="D5" s="7"/>
    </row>
    <row r="6" spans="1:13" x14ac:dyDescent="0.2">
      <c r="A6" t="s">
        <v>4</v>
      </c>
      <c r="B6" s="7">
        <v>10</v>
      </c>
      <c r="C6" s="7">
        <v>5</v>
      </c>
      <c r="D6" s="7"/>
    </row>
    <row r="7" spans="1:13" x14ac:dyDescent="0.2">
      <c r="A7" t="s">
        <v>5</v>
      </c>
      <c r="B7" s="7">
        <v>5</v>
      </c>
      <c r="C7" s="7">
        <v>5</v>
      </c>
      <c r="D7" s="7"/>
    </row>
    <row r="8" spans="1:13" x14ac:dyDescent="0.2">
      <c r="A8" t="s">
        <v>6</v>
      </c>
      <c r="B8" s="7">
        <v>0</v>
      </c>
      <c r="C8" s="7">
        <v>15000</v>
      </c>
      <c r="D8" s="7"/>
      <c r="H8" s="8" t="s">
        <v>19</v>
      </c>
      <c r="I8" s="8"/>
      <c r="J8" s="8"/>
      <c r="K8" s="8"/>
      <c r="L8" s="8"/>
      <c r="M8" s="8"/>
    </row>
    <row r="9" spans="1:13" x14ac:dyDescent="0.2">
      <c r="A9" t="s">
        <v>7</v>
      </c>
      <c r="B9" s="7">
        <v>22000</v>
      </c>
      <c r="C9" s="7">
        <v>0</v>
      </c>
      <c r="D9" s="7"/>
      <c r="H9" t="s">
        <v>20</v>
      </c>
      <c r="I9">
        <v>3</v>
      </c>
    </row>
    <row r="10" spans="1:13" ht="17" thickBot="1" x14ac:dyDescent="0.25">
      <c r="A10" t="s">
        <v>8</v>
      </c>
      <c r="B10" s="7">
        <f>B4+B5-B12*(B6-B7)</f>
        <v>20000</v>
      </c>
      <c r="C10" s="7">
        <f>C4+C5-C12*(C6-C7)</f>
        <v>81000</v>
      </c>
      <c r="D10" s="7"/>
      <c r="H10" t="s">
        <v>21</v>
      </c>
      <c r="I10" s="5">
        <v>81000</v>
      </c>
    </row>
    <row r="11" spans="1:13" ht="18" thickTop="1" thickBot="1" x14ac:dyDescent="0.25">
      <c r="A11" t="s">
        <v>9</v>
      </c>
      <c r="B11" s="7">
        <v>0</v>
      </c>
      <c r="C11" s="7">
        <v>3000</v>
      </c>
      <c r="D11" s="7"/>
      <c r="H11" s="9" t="s">
        <v>22</v>
      </c>
      <c r="I11" s="9">
        <v>1</v>
      </c>
      <c r="J11" s="9">
        <v>2</v>
      </c>
      <c r="K11" s="9">
        <v>3</v>
      </c>
      <c r="L11" s="9">
        <v>4</v>
      </c>
      <c r="M11" s="9">
        <v>5</v>
      </c>
    </row>
    <row r="12" spans="1:13" ht="17" thickTop="1" x14ac:dyDescent="0.2">
      <c r="A12" t="s">
        <v>10</v>
      </c>
      <c r="B12" s="7">
        <f>SLN(B4+B5, B8, B6)</f>
        <v>4000</v>
      </c>
      <c r="C12" s="7">
        <f>SLN(C4+C5, C8, C6)</f>
        <v>13200</v>
      </c>
      <c r="D12" s="7">
        <f>B12-C12</f>
        <v>-9200</v>
      </c>
      <c r="H12" t="s">
        <v>19</v>
      </c>
      <c r="I12" s="10">
        <f>IFERROR(VDB($I$10, 0, $I$9, MAX(0, I11-1.5), MIN($I$9, I11-0.5), 2),0)</f>
        <v>27000</v>
      </c>
      <c r="J12" s="10">
        <f t="shared" ref="J12:M12" si="0">IFERROR(VDB($I$10, 0, $I$9, MAX(0, J11-1.5), MIN($I$9, J11-0.5), 2),0)</f>
        <v>36000</v>
      </c>
      <c r="K12" s="10">
        <f t="shared" si="0"/>
        <v>12000</v>
      </c>
      <c r="L12" s="10">
        <f t="shared" si="0"/>
        <v>6000</v>
      </c>
      <c r="M12" s="10">
        <f t="shared" si="0"/>
        <v>0</v>
      </c>
    </row>
    <row r="13" spans="1:13" x14ac:dyDescent="0.2">
      <c r="A13" t="s">
        <v>11</v>
      </c>
      <c r="B13" s="7">
        <v>29000</v>
      </c>
      <c r="C13" s="7"/>
      <c r="D13" s="7">
        <f t="shared" ref="D13:D15" si="1">B13-C13</f>
        <v>29000</v>
      </c>
    </row>
    <row r="14" spans="1:13" x14ac:dyDescent="0.2">
      <c r="A14" t="s">
        <v>12</v>
      </c>
      <c r="B14" s="7">
        <v>6000</v>
      </c>
      <c r="C14" s="7">
        <v>5000</v>
      </c>
      <c r="D14" s="7">
        <f t="shared" si="1"/>
        <v>1000</v>
      </c>
    </row>
    <row r="15" spans="1:13" x14ac:dyDescent="0.2">
      <c r="A15" t="s">
        <v>13</v>
      </c>
      <c r="B15" s="7">
        <v>4000</v>
      </c>
      <c r="C15" s="7">
        <v>2000</v>
      </c>
      <c r="D15" s="7">
        <f t="shared" si="1"/>
        <v>2000</v>
      </c>
    </row>
    <row r="16" spans="1:13" x14ac:dyDescent="0.2">
      <c r="A16" t="s">
        <v>14</v>
      </c>
      <c r="B16" s="6">
        <v>0.25</v>
      </c>
    </row>
    <row r="17" spans="1:5" x14ac:dyDescent="0.2">
      <c r="A17" t="s">
        <v>15</v>
      </c>
      <c r="B17" s="6">
        <v>0.15</v>
      </c>
    </row>
    <row r="18" spans="1:5" ht="17" thickBot="1" x14ac:dyDescent="0.25">
      <c r="A18" s="1" t="s">
        <v>28</v>
      </c>
      <c r="B18" s="1"/>
      <c r="C18" s="1" t="s">
        <v>30</v>
      </c>
      <c r="D18" s="1" t="s">
        <v>28</v>
      </c>
      <c r="E18" s="1" t="s">
        <v>31</v>
      </c>
    </row>
    <row r="19" spans="1:5" ht="17" thickTop="1" x14ac:dyDescent="0.2">
      <c r="A19" t="s">
        <v>23</v>
      </c>
      <c r="B19" s="7">
        <f>-(C4+C5-B9+(B9-B10)*B16+C11)</f>
        <v>-62500</v>
      </c>
      <c r="C19">
        <v>0</v>
      </c>
      <c r="D19" s="7">
        <f>B19</f>
        <v>-62500</v>
      </c>
    </row>
    <row r="20" spans="1:5" x14ac:dyDescent="0.2">
      <c r="A20" s="11" t="s">
        <v>24</v>
      </c>
      <c r="B20" s="7">
        <f>SUM(D13:D15)*(1-B16)</f>
        <v>24000</v>
      </c>
      <c r="C20">
        <v>1</v>
      </c>
      <c r="D20" s="7">
        <f>B$22</f>
        <v>26300</v>
      </c>
      <c r="E20" t="b">
        <f>IF(SUM(D$19:D20)&gt;0, COUNT(D$19:D19)+ABS(SUM(D$19:D19))/D20-1)</f>
        <v>0</v>
      </c>
    </row>
    <row r="21" spans="1:5" x14ac:dyDescent="0.2">
      <c r="A21" s="11" t="s">
        <v>25</v>
      </c>
      <c r="B21" s="7">
        <f>-D12*B16</f>
        <v>2300</v>
      </c>
      <c r="C21">
        <v>2</v>
      </c>
      <c r="D21" s="7">
        <f>B$22</f>
        <v>26300</v>
      </c>
      <c r="E21" t="b">
        <f>IF(SUM(D$19:D21)&gt;0, COUNT(D$19:D20)+ABS(SUM(D$19:D20))/D21-1)</f>
        <v>0</v>
      </c>
    </row>
    <row r="22" spans="1:5" x14ac:dyDescent="0.2">
      <c r="A22" t="s">
        <v>26</v>
      </c>
      <c r="B22" s="7">
        <f>SUM(B20:B21)</f>
        <v>26300</v>
      </c>
      <c r="C22">
        <v>3</v>
      </c>
      <c r="D22" s="7">
        <f>B$22</f>
        <v>26300</v>
      </c>
      <c r="E22" s="12">
        <f>IF(SUM(D$19:D22)&gt;0, COUNT(D$19:D21)+ABS(SUM(D$19:D21))/D22-1)</f>
        <v>2.376425855513308</v>
      </c>
    </row>
    <row r="23" spans="1:5" x14ac:dyDescent="0.2">
      <c r="A23" t="s">
        <v>27</v>
      </c>
      <c r="B23" s="7">
        <f>C8-(C8-(SUM(C4:C5)-C12*C6))*B15+C11</f>
        <v>18000</v>
      </c>
      <c r="C23">
        <v>4</v>
      </c>
      <c r="D23" s="7">
        <f>B$22</f>
        <v>26300</v>
      </c>
      <c r="E23" s="12">
        <f>IF(SUM(D$19:D23)&gt;0, COUNT(D$19:D22)+ABS(SUM(D$19:D22))/D23-1)</f>
        <v>3.6235741444866925</v>
      </c>
    </row>
    <row r="24" spans="1:5" x14ac:dyDescent="0.2">
      <c r="C24">
        <v>5</v>
      </c>
      <c r="D24" s="7">
        <f>B22+B23</f>
        <v>44300</v>
      </c>
      <c r="E24" s="12">
        <f>IF(SUM(D$19:D24)&gt;0, COUNT(D$19:D23)+ABS(SUM(D$19:D23))/D24-1)</f>
        <v>4.9638826185101577</v>
      </c>
    </row>
    <row r="25" spans="1:5" x14ac:dyDescent="0.2">
      <c r="A25" t="s">
        <v>29</v>
      </c>
      <c r="B25" s="12">
        <f>-B19/B22</f>
        <v>2.376425855513308</v>
      </c>
      <c r="E25" s="12">
        <f>MIN(E20:E24)</f>
        <v>2.376425855513308</v>
      </c>
    </row>
    <row r="26" spans="1:5" x14ac:dyDescent="0.2">
      <c r="B26" s="12" t="e" cm="1">
        <f t="array" aca="1" ref="B26" ca="1">[1]!FAME_Payback(D19:D24, B17)</f>
        <v>#NAME?</v>
      </c>
    </row>
    <row r="27" spans="1:5" x14ac:dyDescent="0.2">
      <c r="B27" s="13">
        <f>NPV(B17, D19:D24)*(1+B17)</f>
        <v>34610.860313069112</v>
      </c>
    </row>
    <row r="28" spans="1:5" x14ac:dyDescent="0.2">
      <c r="B28" s="12">
        <f>(B27-B19)/-B19</f>
        <v>1.5537737650091057</v>
      </c>
    </row>
    <row r="29" spans="1:5" x14ac:dyDescent="0.2">
      <c r="B29" s="6">
        <f>IRR(D19:D24)</f>
        <v>0.34915869027607549</v>
      </c>
    </row>
    <row r="30" spans="1:5" x14ac:dyDescent="0.2">
      <c r="B30" s="6">
        <f>MIRR(D19:D24, B17, B17)</f>
        <v>0.25595881156983746</v>
      </c>
    </row>
    <row r="34" spans="1:2" ht="17" thickBot="1" x14ac:dyDescent="0.25">
      <c r="A34" s="1" t="s">
        <v>32</v>
      </c>
      <c r="B34" s="1"/>
    </row>
    <row r="35" spans="1:2" ht="17" thickTop="1" x14ac:dyDescent="0.2">
      <c r="A35" t="s">
        <v>15</v>
      </c>
      <c r="B35" t="s">
        <v>33</v>
      </c>
    </row>
    <row r="36" spans="1:2" x14ac:dyDescent="0.2">
      <c r="A36" s="14">
        <v>0</v>
      </c>
      <c r="B36" s="15">
        <f>NPV(A36, D$20:D$24)+D$19</f>
        <v>87000</v>
      </c>
    </row>
    <row r="37" spans="1:2" x14ac:dyDescent="0.2">
      <c r="A37" s="14">
        <v>0.05</v>
      </c>
      <c r="B37" s="15">
        <f t="shared" ref="B37:B43" si="2">NPV(A37, D$20:D$24)+D$19</f>
        <v>65468.707434022799</v>
      </c>
    </row>
    <row r="38" spans="1:2" x14ac:dyDescent="0.2">
      <c r="A38" s="14">
        <v>0.1</v>
      </c>
      <c r="B38" s="15">
        <f t="shared" si="2"/>
        <v>48374.275850506951</v>
      </c>
    </row>
    <row r="39" spans="1:2" x14ac:dyDescent="0.2">
      <c r="A39" s="14">
        <v>0.15</v>
      </c>
      <c r="B39" s="15">
        <f t="shared" si="2"/>
        <v>34610.860313069119</v>
      </c>
    </row>
    <row r="40" spans="1:2" x14ac:dyDescent="0.2">
      <c r="A40" s="14">
        <v>0.2</v>
      </c>
      <c r="B40" s="15">
        <f t="shared" si="2"/>
        <v>23386.895576131705</v>
      </c>
    </row>
    <row r="41" spans="1:2" x14ac:dyDescent="0.2">
      <c r="A41" s="14">
        <v>0.25</v>
      </c>
      <c r="B41" s="15">
        <f t="shared" si="2"/>
        <v>14126.304000000004</v>
      </c>
    </row>
    <row r="42" spans="1:2" x14ac:dyDescent="0.2">
      <c r="A42" s="14">
        <v>0.3</v>
      </c>
      <c r="B42" s="15">
        <f t="shared" si="2"/>
        <v>6403.407820777662</v>
      </c>
    </row>
    <row r="43" spans="1:2" x14ac:dyDescent="0.2">
      <c r="A43" s="14">
        <v>0.35</v>
      </c>
      <c r="B43" s="15">
        <f t="shared" si="2"/>
        <v>-100.77154308688478</v>
      </c>
    </row>
    <row r="44" spans="1:2" x14ac:dyDescent="0.2">
      <c r="A44" s="14">
        <v>0.4</v>
      </c>
      <c r="B44" s="15">
        <f>NPV(A44, D$20:D$24)+D$19</f>
        <v>-5628.369131909305</v>
      </c>
    </row>
  </sheetData>
  <scenarios current="0" sqref="B25:B30">
    <scenario name="Best Case" locked="1" count="2" user="Brockman,Patricia L" comment="Created by Brockman,Patricia L on 8/1/2021">
      <inputCells r="C14" val="2000" numFmtId="37"/>
      <inputCells r="C15" val="1000" numFmtId="37"/>
    </scenario>
    <scenario name="Expected Case" locked="1" count="2" user="Brockman,Patricia L" comment="Created by Brockman,Patricia L on 8/1/2021">
      <inputCells r="C14" val="5000" numFmtId="37"/>
      <inputCells r="C15" val="2000" numFmtId="37"/>
    </scenario>
    <scenario name="Worst Case" locked="1" count="2" user="Brockman,Patricia L" comment="Created by Brockman,Patricia L on 8/1/2021">
      <inputCells r="C14" val="8000" numFmtId="37"/>
      <inputCells r="C15" val="5000" numFmtId="37"/>
    </scenario>
  </scenario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589A-3098-F14F-8C4D-B335DCAEE35B}">
  <dimension ref="A1:D20"/>
  <sheetViews>
    <sheetView workbookViewId="0">
      <selection activeCell="B20" sqref="B20"/>
    </sheetView>
  </sheetViews>
  <sheetFormatPr baseColWidth="10" defaultRowHeight="16" x14ac:dyDescent="0.2"/>
  <sheetData>
    <row r="1" spans="1:4" x14ac:dyDescent="0.2">
      <c r="A1" s="32" t="s">
        <v>50</v>
      </c>
      <c r="B1" s="32"/>
      <c r="C1" s="32"/>
      <c r="D1" s="32"/>
    </row>
    <row r="2" spans="1:4" ht="17" thickBot="1" x14ac:dyDescent="0.25">
      <c r="A2" s="33" t="s">
        <v>51</v>
      </c>
      <c r="B2" s="33"/>
      <c r="C2" s="33"/>
      <c r="D2" s="33"/>
    </row>
    <row r="3" spans="1:4" ht="18" thickTop="1" thickBot="1" x14ac:dyDescent="0.25">
      <c r="A3" s="34" t="s">
        <v>52</v>
      </c>
      <c r="B3" s="34" t="s">
        <v>53</v>
      </c>
      <c r="C3" s="34" t="s">
        <v>33</v>
      </c>
      <c r="D3" s="34" t="s">
        <v>54</v>
      </c>
    </row>
    <row r="4" spans="1:4" ht="17" thickTop="1" x14ac:dyDescent="0.2">
      <c r="A4" t="s">
        <v>55</v>
      </c>
      <c r="B4" s="5">
        <v>237005</v>
      </c>
      <c r="C4" s="5">
        <v>84334</v>
      </c>
      <c r="D4">
        <v>1</v>
      </c>
    </row>
    <row r="5" spans="1:4" x14ac:dyDescent="0.2">
      <c r="A5" t="s">
        <v>56</v>
      </c>
      <c r="B5" s="5">
        <v>766496</v>
      </c>
      <c r="C5" s="5">
        <v>26881</v>
      </c>
      <c r="D5">
        <v>0</v>
      </c>
    </row>
    <row r="6" spans="1:4" x14ac:dyDescent="0.2">
      <c r="A6" t="s">
        <v>57</v>
      </c>
      <c r="B6" s="5">
        <v>304049</v>
      </c>
      <c r="C6" s="5">
        <v>23162</v>
      </c>
      <c r="D6">
        <v>1</v>
      </c>
    </row>
    <row r="7" spans="1:4" x14ac:dyDescent="0.2">
      <c r="A7" t="s">
        <v>58</v>
      </c>
      <c r="B7" s="5">
        <v>565178</v>
      </c>
      <c r="C7" s="5">
        <v>82598</v>
      </c>
      <c r="D7">
        <v>1</v>
      </c>
    </row>
    <row r="8" spans="1:4" x14ac:dyDescent="0.2">
      <c r="A8" t="s">
        <v>59</v>
      </c>
      <c r="B8" s="5">
        <v>108990</v>
      </c>
      <c r="C8" s="5">
        <v>20590</v>
      </c>
      <c r="D8">
        <v>0</v>
      </c>
    </row>
    <row r="9" spans="1:4" x14ac:dyDescent="0.2">
      <c r="A9" t="s">
        <v>60</v>
      </c>
      <c r="B9" s="5">
        <v>89135</v>
      </c>
      <c r="C9" s="5">
        <v>90404</v>
      </c>
      <c r="D9">
        <v>1</v>
      </c>
    </row>
    <row r="10" spans="1:4" x14ac:dyDescent="0.2">
      <c r="A10" t="s">
        <v>61</v>
      </c>
      <c r="B10" s="5">
        <v>795664</v>
      </c>
      <c r="C10" s="5">
        <v>18163</v>
      </c>
      <c r="D10">
        <v>0</v>
      </c>
    </row>
    <row r="11" spans="1:4" x14ac:dyDescent="0.2">
      <c r="A11" t="s">
        <v>63</v>
      </c>
      <c r="B11" s="5">
        <v>814493</v>
      </c>
      <c r="C11" s="5">
        <v>97682</v>
      </c>
      <c r="D11">
        <v>1</v>
      </c>
    </row>
    <row r="12" spans="1:4" x14ac:dyDescent="0.2">
      <c r="A12" t="s">
        <v>62</v>
      </c>
      <c r="B12" s="5">
        <v>480321</v>
      </c>
      <c r="C12" s="5">
        <v>52063</v>
      </c>
      <c r="D12">
        <v>0</v>
      </c>
    </row>
    <row r="13" spans="1:4" x14ac:dyDescent="0.2">
      <c r="A13" t="s">
        <v>64</v>
      </c>
      <c r="B13" s="5">
        <v>826610</v>
      </c>
      <c r="C13" s="5">
        <v>53911</v>
      </c>
      <c r="D13">
        <v>0</v>
      </c>
    </row>
    <row r="14" spans="1:4" x14ac:dyDescent="0.2">
      <c r="A14" t="s">
        <v>65</v>
      </c>
      <c r="B14" s="5">
        <v>734830</v>
      </c>
      <c r="C14" s="5">
        <v>56323</v>
      </c>
      <c r="D14">
        <v>0</v>
      </c>
    </row>
    <row r="15" spans="1:4" x14ac:dyDescent="0.2">
      <c r="A15" t="s">
        <v>66</v>
      </c>
      <c r="B15" s="5">
        <v>910598</v>
      </c>
      <c r="C15" s="5">
        <v>88349</v>
      </c>
      <c r="D15">
        <v>1</v>
      </c>
    </row>
    <row r="16" spans="1:4" x14ac:dyDescent="0.2">
      <c r="A16" t="s">
        <v>67</v>
      </c>
      <c r="B16" s="5">
        <v>978621</v>
      </c>
      <c r="C16" s="5">
        <v>69352</v>
      </c>
      <c r="D16">
        <v>0</v>
      </c>
    </row>
    <row r="17" spans="1:4" x14ac:dyDescent="0.2">
      <c r="A17" t="s">
        <v>68</v>
      </c>
      <c r="B17" s="5" cm="1">
        <f t="array" ref="B17">SUM(B4:B16*$D4:$D16)</f>
        <v>2920458</v>
      </c>
      <c r="C17" s="5" cm="1">
        <f t="array" ref="C17">SUM(C4:C16*$D4:$D16)</f>
        <v>466529</v>
      </c>
      <c r="D17">
        <f>SUM(D4:D16)</f>
        <v>6</v>
      </c>
    </row>
    <row r="18" spans="1:4" x14ac:dyDescent="0.2">
      <c r="A18" t="s">
        <v>69</v>
      </c>
      <c r="B18" s="5">
        <v>3000000</v>
      </c>
    </row>
    <row r="20" spans="1:4" x14ac:dyDescent="0.2">
      <c r="A20" t="s">
        <v>70</v>
      </c>
      <c r="B20" t="str">
        <f>_xlfn.TEXTJOIN(",", TRUE, _xlfn._xlws.FILTER(A4:A16, D4:D16))</f>
        <v>A,C,D,F,H,L</v>
      </c>
    </row>
  </sheetData>
  <scenarios current="0">
    <scenario name="OPtimal" count="13" user="Brockman,Patricia L" comment="Created by Brockman,Patricia L on 8/1/2021">
      <inputCells r="D4" val="1"/>
      <inputCells r="D5" val="0"/>
      <inputCells r="D6" val="1"/>
      <inputCells r="D7" val="1"/>
      <inputCells r="D8" val="0"/>
      <inputCells r="D9" val="1"/>
      <inputCells r="D10" val="0"/>
      <inputCells r="D11" val="1"/>
      <inputCells r="D12" val="0"/>
      <inputCells r="D13" val="0"/>
      <inputCells r="D14" val="0"/>
      <inputCells r="D15" val="1"/>
      <inputCells r="D16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Scenario Summary</vt:lpstr>
      <vt:lpstr>Replacement Analysis</vt:lpstr>
      <vt:lpstr>FVCA</vt:lpstr>
      <vt:lpstr>Defects</vt:lpstr>
      <vt:lpstr>Discounted_Payback</vt:lpstr>
      <vt:lpstr>IRR</vt:lpstr>
      <vt:lpstr>Maintenance</vt:lpstr>
      <vt:lpstr>MIRR</vt:lpstr>
      <vt:lpstr>NPV</vt:lpstr>
      <vt:lpstr>Payback_Period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Brockman,Patricia L</dc:creator>
  <cp:lastModifiedBy>Brockman,Patricia L</cp:lastModifiedBy>
  <dcterms:created xsi:type="dcterms:W3CDTF">2021-08-01T04:40:05Z</dcterms:created>
  <dcterms:modified xsi:type="dcterms:W3CDTF">2022-05-02T00:24:29Z</dcterms:modified>
</cp:coreProperties>
</file>