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6713A79-980D-4752-A938-1EA914B7DC03}" xr6:coauthVersionLast="38" xr6:coauthVersionMax="38" xr10:uidLastSave="{00000000-0000-0000-0000-000000000000}"/>
  <bookViews>
    <workbookView xWindow="0" yWindow="0" windowWidth="21570" windowHeight="7980" xr2:uid="{00000000-000D-0000-FFFF-FFFF00000000}"/>
  </bookViews>
  <sheets>
    <sheet name="Hoja1" sheetId="1" r:id="rId1"/>
    <sheet name="Hoja2" sheetId="2" r:id="rId2"/>
    <sheet name="Hoja3" sheetId="3" r:id="rId3"/>
    <sheet name="Comentario" sheetId="4" r:id="rId4"/>
  </sheets>
  <calcPr calcId="181029"/>
</workbook>
</file>

<file path=xl/calcChain.xml><?xml version="1.0" encoding="utf-8"?>
<calcChain xmlns="http://schemas.openxmlformats.org/spreadsheetml/2006/main">
  <c r="F29" i="4" l="1"/>
  <c r="L16" i="1" l="1"/>
  <c r="L8" i="1"/>
  <c r="G53" i="1"/>
  <c r="H53" i="1"/>
  <c r="I53" i="1"/>
  <c r="J53" i="1"/>
  <c r="K53" i="1"/>
  <c r="F53" i="1"/>
  <c r="D41" i="1"/>
  <c r="D40" i="1"/>
  <c r="C66" i="1"/>
  <c r="D66" i="1"/>
  <c r="E66" i="1"/>
  <c r="F66" i="1"/>
  <c r="G66" i="1"/>
  <c r="H66" i="1"/>
  <c r="I66" i="1"/>
  <c r="J66" i="1"/>
  <c r="K66" i="1"/>
  <c r="B66" i="1"/>
  <c r="D63" i="1"/>
  <c r="E63" i="1"/>
  <c r="F63" i="1"/>
  <c r="G63" i="1"/>
  <c r="H63" i="1"/>
  <c r="I63" i="1"/>
  <c r="J63" i="1"/>
  <c r="K63" i="1"/>
  <c r="C63" i="1"/>
  <c r="B63" i="1"/>
  <c r="B33" i="1"/>
  <c r="B32" i="1"/>
  <c r="B31" i="1"/>
  <c r="H74" i="1" s="1"/>
  <c r="J74" i="1"/>
  <c r="C69" i="1"/>
  <c r="B69" i="1"/>
  <c r="C77" i="1"/>
  <c r="D77" i="1"/>
  <c r="E77" i="1"/>
  <c r="F77" i="1"/>
  <c r="G77" i="1"/>
  <c r="H77" i="1"/>
  <c r="I77" i="1"/>
  <c r="J77" i="1"/>
  <c r="K77" i="1"/>
  <c r="B77" i="1"/>
  <c r="C74" i="1"/>
  <c r="D74" i="1"/>
  <c r="C72" i="1"/>
  <c r="D72" i="1"/>
  <c r="B72" i="1"/>
  <c r="B26" i="1"/>
  <c r="F70" i="1" s="1"/>
  <c r="D69" i="1"/>
  <c r="E69" i="1"/>
  <c r="F69" i="1"/>
  <c r="G69" i="1"/>
  <c r="H69" i="1"/>
  <c r="I69" i="1"/>
  <c r="J69" i="1"/>
  <c r="K69" i="1"/>
  <c r="C68" i="1"/>
  <c r="D68" i="1"/>
  <c r="E68" i="1"/>
  <c r="F68" i="1"/>
  <c r="G68" i="1"/>
  <c r="H68" i="1"/>
  <c r="I68" i="1"/>
  <c r="J68" i="1"/>
  <c r="K68" i="1"/>
  <c r="C56" i="1"/>
  <c r="G56" i="1" s="1"/>
  <c r="B56" i="1"/>
  <c r="F74" i="1" l="1"/>
  <c r="E74" i="1"/>
  <c r="K74" i="1"/>
  <c r="I74" i="1"/>
  <c r="B74" i="1"/>
  <c r="G74" i="1"/>
  <c r="C70" i="1"/>
  <c r="J70" i="1"/>
  <c r="D56" i="1"/>
  <c r="I70" i="1"/>
  <c r="K56" i="1"/>
  <c r="J56" i="1"/>
  <c r="I56" i="1"/>
  <c r="F56" i="1"/>
  <c r="K70" i="1"/>
  <c r="E70" i="1"/>
  <c r="E56" i="1"/>
  <c r="B70" i="1"/>
  <c r="D70" i="1"/>
  <c r="H70" i="1"/>
  <c r="H56" i="1"/>
  <c r="G70" i="1"/>
  <c r="B58" i="1" l="1"/>
  <c r="B43" i="1" l="1"/>
  <c r="B48" i="1"/>
  <c r="E41" i="1"/>
  <c r="E40" i="1"/>
  <c r="C41" i="1"/>
  <c r="C40" i="1"/>
  <c r="B41" i="1"/>
  <c r="B40" i="1"/>
  <c r="I50" i="1" l="1"/>
  <c r="E67" i="1"/>
  <c r="C65" i="1"/>
  <c r="K65" i="1"/>
  <c r="B67" i="1"/>
  <c r="F67" i="1"/>
  <c r="D65" i="1"/>
  <c r="B65" i="1"/>
  <c r="G67" i="1"/>
  <c r="E65" i="1"/>
  <c r="K67" i="1"/>
  <c r="H67" i="1"/>
  <c r="F65" i="1"/>
  <c r="J65" i="1"/>
  <c r="I67" i="1"/>
  <c r="G65" i="1"/>
  <c r="C67" i="1"/>
  <c r="J67" i="1"/>
  <c r="H65" i="1"/>
  <c r="I65" i="1"/>
  <c r="D67" i="1"/>
  <c r="E50" i="1"/>
  <c r="H50" i="1"/>
  <c r="H54" i="1" s="1"/>
  <c r="D50" i="1"/>
  <c r="D54" i="1" s="1"/>
  <c r="F50" i="1"/>
  <c r="G50" i="1"/>
  <c r="I52" i="1"/>
  <c r="J50" i="1"/>
  <c r="F52" i="1"/>
  <c r="F51" i="1"/>
  <c r="G52" i="1"/>
  <c r="K51" i="1"/>
  <c r="K50" i="1"/>
  <c r="D52" i="1"/>
  <c r="I51" i="1"/>
  <c r="J52" i="1"/>
  <c r="E51" i="1"/>
  <c r="H52" i="1"/>
  <c r="D51" i="1"/>
  <c r="G51" i="1"/>
  <c r="E52" i="1"/>
  <c r="J51" i="1"/>
  <c r="H51" i="1"/>
  <c r="K52" i="1"/>
  <c r="E78" i="1"/>
  <c r="F78" i="1"/>
  <c r="G78" i="1"/>
  <c r="C78" i="1"/>
  <c r="K78" i="1"/>
  <c r="H78" i="1"/>
  <c r="I78" i="1"/>
  <c r="D78" i="1"/>
  <c r="B78" i="1"/>
  <c r="J78" i="1"/>
  <c r="E54" i="1" l="1"/>
  <c r="J54" i="1"/>
  <c r="H73" i="1"/>
  <c r="G54" i="1"/>
  <c r="K54" i="1"/>
  <c r="K73" i="1" s="1"/>
  <c r="F54" i="1"/>
  <c r="F73" i="1" s="1"/>
  <c r="I54" i="1"/>
  <c r="I73" i="1" s="1"/>
  <c r="G73" i="1"/>
  <c r="E73" i="1"/>
  <c r="D73" i="1"/>
  <c r="J73" i="1"/>
  <c r="B54" i="1"/>
  <c r="B73" i="1" s="1"/>
  <c r="C54" i="1"/>
  <c r="C73" i="1" s="1"/>
  <c r="F85" i="1" l="1"/>
  <c r="F86" i="1" s="1"/>
  <c r="K85" i="1"/>
  <c r="K86" i="1" s="1"/>
  <c r="I85" i="1"/>
  <c r="I86" i="1" s="1"/>
  <c r="I97" i="1" l="1"/>
  <c r="I91" i="1"/>
  <c r="K91" i="1"/>
  <c r="K97" i="1"/>
  <c r="K98" i="1" s="1"/>
  <c r="F91" i="1"/>
  <c r="F97" i="1"/>
  <c r="F98" i="1" s="1"/>
  <c r="D85" i="1"/>
  <c r="D86" i="1" s="1"/>
  <c r="C85" i="1"/>
  <c r="C86" i="1" s="1"/>
  <c r="E85" i="1"/>
  <c r="E75" i="1"/>
  <c r="E79" i="1" s="1"/>
  <c r="E60" i="1"/>
  <c r="E61" i="1" s="1"/>
  <c r="I60" i="1"/>
  <c r="I61" i="1" s="1"/>
  <c r="I98" i="1"/>
  <c r="F60" i="1"/>
  <c r="F61" i="1" s="1"/>
  <c r="B60" i="1"/>
  <c r="B61" i="1" s="1"/>
  <c r="K60" i="1"/>
  <c r="K61" i="1" s="1"/>
  <c r="H75" i="1"/>
  <c r="H79" i="1" s="1"/>
  <c r="H85" i="1"/>
  <c r="H86" i="1" s="1"/>
  <c r="D60" i="1"/>
  <c r="D61" i="1" s="1"/>
  <c r="C60" i="1"/>
  <c r="C61" i="1" s="1"/>
  <c r="K75" i="1"/>
  <c r="K79" i="1" s="1"/>
  <c r="I75" i="1"/>
  <c r="I79" i="1" s="1"/>
  <c r="F75" i="1"/>
  <c r="F79" i="1" s="1"/>
  <c r="K93" i="1" l="1"/>
  <c r="K94" i="1" s="1"/>
  <c r="K92" i="1"/>
  <c r="D91" i="1"/>
  <c r="D97" i="1"/>
  <c r="F93" i="1"/>
  <c r="F94" i="1" s="1"/>
  <c r="F92" i="1"/>
  <c r="I92" i="1"/>
  <c r="I93" i="1"/>
  <c r="I94" i="1" s="1"/>
  <c r="C91" i="1"/>
  <c r="C97" i="1"/>
  <c r="H97" i="1"/>
  <c r="H91" i="1"/>
  <c r="E86" i="1"/>
  <c r="C98" i="1"/>
  <c r="D98" i="1"/>
  <c r="B75" i="1"/>
  <c r="C75" i="1"/>
  <c r="C79" i="1" s="1"/>
  <c r="D75" i="1"/>
  <c r="D79" i="1" s="1"/>
  <c r="J75" i="1"/>
  <c r="J79" i="1" s="1"/>
  <c r="J85" i="1"/>
  <c r="J86" i="1" s="1"/>
  <c r="H98" i="1"/>
  <c r="H60" i="1"/>
  <c r="H61" i="1" s="1"/>
  <c r="G75" i="1"/>
  <c r="G79" i="1" s="1"/>
  <c r="G85" i="1"/>
  <c r="G86" i="1" s="1"/>
  <c r="E91" i="1" l="1"/>
  <c r="E97" i="1"/>
  <c r="E98" i="1" s="1"/>
  <c r="H92" i="1"/>
  <c r="H93" i="1"/>
  <c r="H94" i="1" s="1"/>
  <c r="D93" i="1"/>
  <c r="D94" i="1" s="1"/>
  <c r="D92" i="1"/>
  <c r="J97" i="1"/>
  <c r="J98" i="1" s="1"/>
  <c r="J91" i="1"/>
  <c r="G97" i="1"/>
  <c r="G91" i="1"/>
  <c r="C93" i="1"/>
  <c r="C94" i="1" s="1"/>
  <c r="C92" i="1"/>
  <c r="B79" i="1"/>
  <c r="B80" i="1" s="1"/>
  <c r="C48" i="1" s="1"/>
  <c r="C80" i="1" s="1"/>
  <c r="D48" i="1" s="1"/>
  <c r="D80" i="1" s="1"/>
  <c r="B85" i="1"/>
  <c r="J60" i="1"/>
  <c r="J61" i="1" s="1"/>
  <c r="G98" i="1"/>
  <c r="G60" i="1"/>
  <c r="G61" i="1" s="1"/>
  <c r="J92" i="1" l="1"/>
  <c r="J93" i="1"/>
  <c r="J94" i="1" s="1"/>
  <c r="G93" i="1"/>
  <c r="G94" i="1" s="1"/>
  <c r="G92" i="1"/>
  <c r="E93" i="1"/>
  <c r="E94" i="1" s="1"/>
  <c r="E92" i="1"/>
  <c r="B86" i="1"/>
  <c r="E48" i="1"/>
  <c r="E80" i="1" s="1"/>
  <c r="B91" i="1" l="1"/>
  <c r="B97" i="1"/>
  <c r="B98" i="1" s="1"/>
  <c r="F48" i="1"/>
  <c r="F80" i="1" s="1"/>
  <c r="G48" i="1" s="1"/>
  <c r="G80" i="1" s="1"/>
  <c r="B93" i="1" l="1"/>
  <c r="B94" i="1" s="1"/>
  <c r="B92" i="1"/>
  <c r="H48" i="1"/>
  <c r="H80" i="1" s="1"/>
  <c r="I48" i="1" l="1"/>
  <c r="I80" i="1" s="1"/>
  <c r="J48" i="1" s="1"/>
  <c r="J80" i="1" s="1"/>
  <c r="K48" i="1" l="1"/>
  <c r="K80" i="1" s="1"/>
</calcChain>
</file>

<file path=xl/sharedStrings.xml><?xml version="1.0" encoding="utf-8"?>
<sst xmlns="http://schemas.openxmlformats.org/spreadsheetml/2006/main" count="145" uniqueCount="139">
  <si>
    <t>Número Aviones Alquilar</t>
  </si>
  <si>
    <t>NA</t>
  </si>
  <si>
    <t>Capacidad de Pasajeros por Avion</t>
  </si>
  <si>
    <t>NP</t>
  </si>
  <si>
    <t>Impuesto a La Renta</t>
  </si>
  <si>
    <t>IGV</t>
  </si>
  <si>
    <t>Servicios generales</t>
  </si>
  <si>
    <t>Servicios de limpieza y seguridad por local</t>
  </si>
  <si>
    <t>Cantidad de financiacion</t>
  </si>
  <si>
    <t>Caja mínima</t>
  </si>
  <si>
    <t>Caja maxima</t>
  </si>
  <si>
    <t>Sobregiros</t>
  </si>
  <si>
    <t>Porcentaje que cubre otros gastos para implementacion</t>
  </si>
  <si>
    <t>AE%</t>
  </si>
  <si>
    <t>Horas en las cuales deben hacerce mantenimiento en EEUU</t>
  </si>
  <si>
    <t>Mantenimiento menores</t>
  </si>
  <si>
    <t>Gastos Administrativos</t>
  </si>
  <si>
    <t>Servicios</t>
  </si>
  <si>
    <t>Suministros</t>
  </si>
  <si>
    <t>Sueldos</t>
  </si>
  <si>
    <t>Gastos Operativos</t>
  </si>
  <si>
    <t>Combustible</t>
  </si>
  <si>
    <t>Lubricantes</t>
  </si>
  <si>
    <t>Llantas</t>
  </si>
  <si>
    <t>Derechos de vuelo</t>
  </si>
  <si>
    <t>Servicios de Rampa</t>
  </si>
  <si>
    <t>Catering</t>
  </si>
  <si>
    <t>Zona Geográfica</t>
  </si>
  <si>
    <t>Tarifa por pasajero (S/.)</t>
  </si>
  <si>
    <t>Promedio de Km. recorridos por vuelo</t>
  </si>
  <si>
    <t>Número de vuelos diarios estimados</t>
  </si>
  <si>
    <t>Porcentaje de ocupación en cada vuelo</t>
  </si>
  <si>
    <t>Zona A</t>
  </si>
  <si>
    <t>Zona B</t>
  </si>
  <si>
    <t>Zona C</t>
  </si>
  <si>
    <t xml:space="preserve">Flujo de caja </t>
  </si>
  <si>
    <t>Saldo Inicial</t>
  </si>
  <si>
    <t>INGRESOS OPERATIVOS</t>
  </si>
  <si>
    <t>Total Ingresos Operativos</t>
  </si>
  <si>
    <t>INGRESOS FINANCIEROS</t>
  </si>
  <si>
    <t>Prestamos a corto plazo</t>
  </si>
  <si>
    <t>Total Ingresos Financieros</t>
  </si>
  <si>
    <t>TOTAL DE INGRESOS</t>
  </si>
  <si>
    <t>EGRESOS OPERATIVOS</t>
  </si>
  <si>
    <t>Servicios basicos</t>
  </si>
  <si>
    <t>Beneficios laborales de personal</t>
  </si>
  <si>
    <t>Publicidad</t>
  </si>
  <si>
    <t>IGV al Estado</t>
  </si>
  <si>
    <t>Total Egresos Operativos</t>
  </si>
  <si>
    <t>EGRESOS FINANCIEROS</t>
  </si>
  <si>
    <t>Total Egresos Financieros</t>
  </si>
  <si>
    <t xml:space="preserve">TOTAL DE EGRESOS </t>
  </si>
  <si>
    <t>Saldo Final</t>
  </si>
  <si>
    <t>Semestre 1</t>
  </si>
  <si>
    <t>Semestre 2</t>
  </si>
  <si>
    <t>Semestre 3</t>
  </si>
  <si>
    <t>Semestre 4</t>
  </si>
  <si>
    <t>Semestre 5</t>
  </si>
  <si>
    <t>Semestre 6</t>
  </si>
  <si>
    <t>HV</t>
  </si>
  <si>
    <t>Semestre 7</t>
  </si>
  <si>
    <t>Semestre 8</t>
  </si>
  <si>
    <t>Semestre 9</t>
  </si>
  <si>
    <t>Semestre 10</t>
  </si>
  <si>
    <t>Vuelos Zona A</t>
  </si>
  <si>
    <t>Vuelos Zona B</t>
  </si>
  <si>
    <t>Vuelos Zona C</t>
  </si>
  <si>
    <t>Aportes de Capital de los accionista nacionales</t>
  </si>
  <si>
    <t xml:space="preserve">Inversiones en publicidad fuerte </t>
  </si>
  <si>
    <t>Alquiler de local</t>
  </si>
  <si>
    <t xml:space="preserve">Personal </t>
  </si>
  <si>
    <t xml:space="preserve">Mantemiento </t>
  </si>
  <si>
    <t>Alquiler avion costo fijo</t>
  </si>
  <si>
    <t>Alquiler avion costo variable</t>
  </si>
  <si>
    <t>Alquiler Local</t>
  </si>
  <si>
    <t>ANALISIS DE SADF</t>
  </si>
  <si>
    <t>SALDO ANTES DE DECISION FINANCIERA (SADF)</t>
  </si>
  <si>
    <t>ANALISIS:                                        CASO1 = 1,     CASO2 = 2</t>
  </si>
  <si>
    <t>CASO 1 (SADF&lt;CAJA MINIMA)</t>
  </si>
  <si>
    <t>SADF</t>
  </si>
  <si>
    <t>CASO 2 (SADF&gt;CAJA MAXIMA)</t>
  </si>
  <si>
    <t>Sobregieros</t>
  </si>
  <si>
    <t>Aportes de Capital de los accionistas nacionales</t>
  </si>
  <si>
    <t>Pago de prestamos a corto plazo</t>
  </si>
  <si>
    <t>Semetre</t>
  </si>
  <si>
    <t>dias</t>
  </si>
  <si>
    <t>Prestamo a Largo plazo</t>
  </si>
  <si>
    <t>Prestamo a largo plazo</t>
  </si>
  <si>
    <t>Semestre 1 y Semestre 2 no tienen ingresos operativos porque aún no empiezan los vuelos</t>
  </si>
  <si>
    <t>Aportación primer año de operación</t>
  </si>
  <si>
    <t>Inversion en materiales y otros servicios</t>
  </si>
  <si>
    <t>Horas de vuelo diario</t>
  </si>
  <si>
    <t>Costo por hora de vuelo(para alquiler variable)</t>
  </si>
  <si>
    <t>Cuota del pago de prestamo Inicial(Largo plazo)</t>
  </si>
  <si>
    <t>Pago de prestamo a largo plazo</t>
  </si>
  <si>
    <t>Cantidad a prestar</t>
  </si>
  <si>
    <t>a20151627@pucp.edu.pe</t>
  </si>
  <si>
    <t>MODIFICATORIA</t>
  </si>
  <si>
    <t>Capacidad pasajeros AIRBUS</t>
  </si>
  <si>
    <t>NPE</t>
  </si>
  <si>
    <t>Asientos de clase ejecutiva</t>
  </si>
  <si>
    <t>CEJ%</t>
  </si>
  <si>
    <t>Canidad de aviones AIRBUS</t>
  </si>
  <si>
    <t>Vuelos AIRBAG</t>
  </si>
  <si>
    <t>Tarifa clase economica</t>
  </si>
  <si>
    <t>Tarifa clase ejecutiva</t>
  </si>
  <si>
    <t>TE</t>
  </si>
  <si>
    <t>3TE</t>
  </si>
  <si>
    <t>Costo contratar IBERIA</t>
  </si>
  <si>
    <t>Numero de counter adicionales en Callao</t>
  </si>
  <si>
    <t>Costo counter Callao</t>
  </si>
  <si>
    <t>Incremento de gastos</t>
  </si>
  <si>
    <t>K%</t>
  </si>
  <si>
    <t>Alquiler AIRBUR costo variable</t>
  </si>
  <si>
    <t>Alquiler AIRBUR costo fijo</t>
  </si>
  <si>
    <t>Horas diarias por vuelo(ida y vuelta)</t>
  </si>
  <si>
    <t>Cantidad Tripulacion</t>
  </si>
  <si>
    <t>Criterios de Calificacion</t>
  </si>
  <si>
    <t>Puntos</t>
  </si>
  <si>
    <t>R-1</t>
  </si>
  <si>
    <t>MODIFICATORIA 1: DESPUES DE 2 años de operación consigui permisos para operaa ruta Lima - Madrid - Lima con frecuencia diaria.
Alquila 2 aviones AIRBUSA  capacidad NPE, de los cuales CEJ% asientos de clase ejecutiva y el resto clase económica.
Las condiciones de alquilas las mismas de las NA, parte fija (monto anual) y parte variable (horas de vuelo).
Tarifa L-M-L clase económica $TE y en clase ejecutivas $3TE. considerar que todos compran boletas ida y vuelta.
Alquiler de 2 counter adicionales en Lima Callao y contratar con IBERIA counter en MAdrid( IBERIA cobrara monto fijo mensual)
Gastos generales se incrementan en K%.
Requiere 2 tirpulaciones completas para cad vuelo. . Reqierecontratar 6 tripulaciones completas para el servicios.</t>
  </si>
  <si>
    <t>R-2</t>
  </si>
  <si>
    <t>MODIFICATORIA 2: luego de pagar prestamos corto plazo, si hay superavit lo invierte en un fondo de inversiones que rinde IF% anual.este fondo sera la primera laternativa para cubrir los deficit de caja antes de tomar ningun sobregiro o prestamo.</t>
  </si>
  <si>
    <t>R-3</t>
  </si>
  <si>
    <t>Calificación del Modelo Original</t>
  </si>
  <si>
    <t>R-4</t>
  </si>
  <si>
    <t>Orden, Limpieza, Claridad,</t>
  </si>
  <si>
    <t>Estructura del Modelo,</t>
  </si>
  <si>
    <t>Uso de Comentarios</t>
  </si>
  <si>
    <t>R-5    (Descuento de Puntos)</t>
  </si>
  <si>
    <t xml:space="preserve">- </t>
  </si>
  <si>
    <t>Mal formato en el nombre del archivo</t>
  </si>
  <si>
    <t>No incluir correo en el Excel.</t>
  </si>
  <si>
    <t>Otros.</t>
  </si>
  <si>
    <t>no presento</t>
  </si>
  <si>
    <t>no incluye costos por los 6 tripulaciones requeridas en egresos</t>
  </si>
  <si>
    <t>no hay analisis para fondos de inversion</t>
  </si>
  <si>
    <t>no incluye costos porcounters adicionales en gresos</t>
  </si>
  <si>
    <t>la soperaciones d evuelos a madrid se den desues de los 2 primeros años, no desde el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</si>
</sst>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b/>
      <sz val="16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166" fontId="9" fillId="0" borderId="0" applyFont="0" applyFill="0" applyBorder="0" applyAlignment="0" applyProtection="0"/>
    <xf numFmtId="0" fontId="9" fillId="0" borderId="0"/>
    <xf numFmtId="0" fontId="8" fillId="0" borderId="0"/>
    <xf numFmtId="9" fontId="9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3" borderId="0" xfId="0" applyFill="1"/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167" fontId="0" fillId="0" borderId="1" xfId="0" applyNumberFormat="1" applyBorder="1" applyAlignment="1">
      <alignment horizontal="right"/>
    </xf>
    <xf numFmtId="0" fontId="5" fillId="6" borderId="10" xfId="0" applyFont="1" applyFill="1" applyBorder="1" applyAlignment="1">
      <alignment horizontal="right"/>
    </xf>
    <xf numFmtId="167" fontId="5" fillId="6" borderId="9" xfId="0" applyNumberFormat="1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5" fillId="7" borderId="1" xfId="0" applyFont="1" applyFill="1" applyBorder="1" applyAlignment="1">
      <alignment horizontal="right"/>
    </xf>
    <xf numFmtId="38" fontId="5" fillId="7" borderId="9" xfId="0" applyNumberFormat="1" applyFont="1" applyFill="1" applyBorder="1" applyAlignment="1">
      <alignment horizontal="right"/>
    </xf>
    <xf numFmtId="167" fontId="0" fillId="0" borderId="9" xfId="0" applyNumberFormat="1" applyFont="1" applyBorder="1" applyAlignment="1">
      <alignment horizontal="right"/>
    </xf>
    <xf numFmtId="38" fontId="5" fillId="6" borderId="9" xfId="0" applyNumberFormat="1" applyFont="1" applyFill="1" applyBorder="1" applyAlignment="1">
      <alignment horizontal="right"/>
    </xf>
    <xf numFmtId="164" fontId="0" fillId="0" borderId="1" xfId="0" applyNumberFormat="1" applyBorder="1"/>
    <xf numFmtId="38" fontId="5" fillId="0" borderId="1" xfId="0" applyNumberFormat="1" applyFont="1" applyFill="1" applyBorder="1" applyAlignment="1">
      <alignment horizontal="right"/>
    </xf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Fill="1" applyBorder="1"/>
    <xf numFmtId="0" fontId="0" fillId="3" borderId="1" xfId="0" applyFill="1" applyBorder="1"/>
    <xf numFmtId="9" fontId="0" fillId="0" borderId="1" xfId="0" applyNumberFormat="1" applyBorder="1"/>
    <xf numFmtId="166" fontId="0" fillId="0" borderId="1" xfId="1" applyFont="1" applyBorder="1"/>
    <xf numFmtId="0" fontId="3" fillId="3" borderId="1" xfId="0" applyFont="1" applyFill="1" applyBorder="1"/>
    <xf numFmtId="38" fontId="5" fillId="0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167" fontId="0" fillId="2" borderId="1" xfId="0" applyNumberFormat="1" applyFill="1" applyBorder="1"/>
    <xf numFmtId="0" fontId="2" fillId="2" borderId="1" xfId="0" applyFont="1" applyFill="1" applyBorder="1" applyAlignment="1">
      <alignment horizontal="left"/>
    </xf>
    <xf numFmtId="0" fontId="0" fillId="0" borderId="0" xfId="0" applyBorder="1"/>
    <xf numFmtId="0" fontId="2" fillId="0" borderId="1" xfId="0" applyFont="1" applyBorder="1"/>
    <xf numFmtId="0" fontId="0" fillId="0" borderId="1" xfId="0" applyFont="1" applyBorder="1" applyAlignment="1">
      <alignment wrapText="1"/>
    </xf>
    <xf numFmtId="167" fontId="0" fillId="0" borderId="1" xfId="0" applyNumberFormat="1" applyFill="1" applyBorder="1"/>
    <xf numFmtId="167" fontId="0" fillId="0" borderId="1" xfId="0" applyNumberFormat="1" applyBorder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6" fillId="0" borderId="0" xfId="0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indent="1"/>
    </xf>
    <xf numFmtId="0" fontId="0" fillId="0" borderId="0" xfId="0" applyAlignment="1">
      <alignment horizontal="center"/>
    </xf>
    <xf numFmtId="0" fontId="0" fillId="3" borderId="11" xfId="0" applyFill="1" applyBorder="1"/>
    <xf numFmtId="0" fontId="0" fillId="0" borderId="11" xfId="0" applyFill="1" applyBorder="1"/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165" fontId="0" fillId="0" borderId="0" xfId="2" applyNumberFormat="1" applyFont="1" applyBorder="1"/>
    <xf numFmtId="0" fontId="7" fillId="0" borderId="0" xfId="3"/>
    <xf numFmtId="167" fontId="0" fillId="0" borderId="9" xfId="0" applyNumberFormat="1" applyBorder="1" applyAlignment="1">
      <alignment horizontal="right"/>
    </xf>
    <xf numFmtId="0" fontId="1" fillId="0" borderId="0" xfId="4" applyBorder="1"/>
    <xf numFmtId="0" fontId="5" fillId="8" borderId="1" xfId="4" applyFont="1" applyFill="1" applyBorder="1" applyAlignment="1">
      <alignment horizontal="center"/>
    </xf>
    <xf numFmtId="0" fontId="1" fillId="0" borderId="0" xfId="4"/>
    <xf numFmtId="0" fontId="5" fillId="0" borderId="0" xfId="4" applyFont="1"/>
    <xf numFmtId="0" fontId="1" fillId="0" borderId="16" xfId="4" applyBorder="1" applyAlignment="1">
      <alignment horizontal="center"/>
    </xf>
    <xf numFmtId="0" fontId="0" fillId="0" borderId="0" xfId="4" applyFont="1"/>
    <xf numFmtId="0" fontId="1" fillId="0" borderId="11" xfId="4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0" xfId="4" applyAlignment="1">
      <alignment horizontal="center"/>
    </xf>
    <xf numFmtId="0" fontId="9" fillId="0" borderId="0" xfId="4" applyFont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0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1" fillId="0" borderId="20" xfId="4" applyBorder="1"/>
    <xf numFmtId="0" fontId="1" fillId="0" borderId="13" xfId="4" quotePrefix="1" applyBorder="1" applyAlignment="1">
      <alignment horizontal="right"/>
    </xf>
    <xf numFmtId="0" fontId="1" fillId="0" borderId="10" xfId="4" quotePrefix="1" applyBorder="1" applyAlignment="1">
      <alignment horizontal="right"/>
    </xf>
    <xf numFmtId="0" fontId="1" fillId="0" borderId="11" xfId="4" quotePrefix="1" applyBorder="1" applyAlignment="1">
      <alignment horizontal="center"/>
    </xf>
    <xf numFmtId="0" fontId="1" fillId="0" borderId="18" xfId="4" quotePrefix="1" applyBorder="1" applyAlignment="1">
      <alignment horizontal="right"/>
    </xf>
    <xf numFmtId="0" fontId="1" fillId="0" borderId="9" xfId="4" applyBorder="1"/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8" borderId="1" xfId="4" applyFont="1" applyFill="1" applyBorder="1" applyAlignment="1">
      <alignment horizontal="center"/>
    </xf>
    <xf numFmtId="0" fontId="8" fillId="8" borderId="1" xfId="4" applyFont="1" applyFill="1" applyBorder="1" applyAlignment="1">
      <alignment horizontal="center"/>
    </xf>
    <xf numFmtId="0" fontId="8" fillId="0" borderId="13" xfId="4" applyFont="1" applyBorder="1" applyAlignment="1">
      <alignment horizontal="center" wrapText="1"/>
    </xf>
    <xf numFmtId="0" fontId="8" fillId="0" borderId="14" xfId="4" applyFont="1" applyBorder="1" applyAlignment="1">
      <alignment horizontal="center"/>
    </xf>
    <xf numFmtId="0" fontId="8" fillId="0" borderId="15" xfId="4" applyFont="1" applyBorder="1" applyAlignment="1">
      <alignment horizontal="center"/>
    </xf>
    <xf numFmtId="0" fontId="8" fillId="0" borderId="10" xfId="4" applyFont="1" applyBorder="1" applyAlignment="1">
      <alignment horizontal="center"/>
    </xf>
    <xf numFmtId="0" fontId="8" fillId="0" borderId="0" xfId="4" applyFont="1" applyBorder="1" applyAlignment="1">
      <alignment horizontal="center"/>
    </xf>
    <xf numFmtId="0" fontId="8" fillId="0" borderId="17" xfId="4" applyFont="1" applyBorder="1" applyAlignment="1">
      <alignment horizontal="center"/>
    </xf>
    <xf numFmtId="0" fontId="8" fillId="0" borderId="18" xfId="4" applyFont="1" applyBorder="1" applyAlignment="1">
      <alignment horizontal="center"/>
    </xf>
    <xf numFmtId="0" fontId="8" fillId="0" borderId="19" xfId="4" applyFont="1" applyBorder="1" applyAlignment="1">
      <alignment horizontal="center"/>
    </xf>
    <xf numFmtId="0" fontId="8" fillId="0" borderId="20" xfId="4" applyFont="1" applyBorder="1" applyAlignment="1">
      <alignment horizontal="center"/>
    </xf>
    <xf numFmtId="0" fontId="8" fillId="0" borderId="14" xfId="4" applyFont="1" applyBorder="1" applyAlignment="1">
      <alignment horizontal="center" wrapText="1"/>
    </xf>
    <xf numFmtId="0" fontId="8" fillId="0" borderId="15" xfId="4" applyFont="1" applyBorder="1" applyAlignment="1">
      <alignment horizontal="center" wrapText="1"/>
    </xf>
    <xf numFmtId="0" fontId="8" fillId="0" borderId="10" xfId="4" applyFont="1" applyBorder="1" applyAlignment="1">
      <alignment horizontal="center" wrapText="1"/>
    </xf>
    <xf numFmtId="0" fontId="8" fillId="0" borderId="0" xfId="4" applyFont="1" applyBorder="1" applyAlignment="1">
      <alignment horizontal="center" wrapText="1"/>
    </xf>
    <xf numFmtId="0" fontId="8" fillId="0" borderId="17" xfId="4" applyFont="1" applyBorder="1" applyAlignment="1">
      <alignment horizontal="center" wrapText="1"/>
    </xf>
    <xf numFmtId="0" fontId="8" fillId="0" borderId="18" xfId="4" applyFont="1" applyBorder="1" applyAlignment="1">
      <alignment horizontal="center" wrapText="1"/>
    </xf>
    <xf numFmtId="0" fontId="8" fillId="0" borderId="19" xfId="4" applyFont="1" applyBorder="1" applyAlignment="1">
      <alignment horizontal="center" wrapText="1"/>
    </xf>
    <xf numFmtId="0" fontId="8" fillId="0" borderId="20" xfId="4" applyFont="1" applyBorder="1" applyAlignment="1">
      <alignment horizontal="center" wrapText="1"/>
    </xf>
  </cellXfs>
  <cellStyles count="9">
    <cellStyle name="Hipervínculo" xfId="3" builtinId="8"/>
    <cellStyle name="Millares" xfId="1" builtinId="3"/>
    <cellStyle name="Millares 2" xfId="5" xr:uid="{00000000-0005-0000-0000-000002000000}"/>
    <cellStyle name="Normal" xfId="0" builtinId="0"/>
    <cellStyle name="Normal 2" xfId="6" xr:uid="{00000000-0005-0000-0000-000004000000}"/>
    <cellStyle name="Normal 2 2" xfId="7" xr:uid="{00000000-0005-0000-0000-000005000000}"/>
    <cellStyle name="Normal 2 3" xfId="4" xr:uid="{00000000-0005-0000-0000-000006000000}"/>
    <cellStyle name="Porcentaje" xfId="2" builtinId="5"/>
    <cellStyle name="Porcentaje 2" xfId="8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20151627@pucp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43" workbookViewId="0">
      <selection activeCell="B71" sqref="B71"/>
    </sheetView>
  </sheetViews>
  <sheetFormatPr baseColWidth="10" defaultRowHeight="15" x14ac:dyDescent="0.25"/>
  <cols>
    <col min="1" max="1" width="52.42578125" customWidth="1"/>
    <col min="2" max="3" width="11.42578125" customWidth="1"/>
    <col min="4" max="4" width="11.5703125" customWidth="1"/>
    <col min="9" max="11" width="11.7109375" bestFit="1" customWidth="1"/>
  </cols>
  <sheetData>
    <row r="1" spans="1:13" x14ac:dyDescent="0.25">
      <c r="A1" s="53" t="s">
        <v>96</v>
      </c>
      <c r="I1" s="81" t="s">
        <v>97</v>
      </c>
      <c r="J1" s="81"/>
    </row>
    <row r="2" spans="1:13" x14ac:dyDescent="0.25">
      <c r="A2" s="27" t="s">
        <v>0</v>
      </c>
      <c r="B2" s="1">
        <v>10</v>
      </c>
      <c r="C2" t="s">
        <v>1</v>
      </c>
    </row>
    <row r="3" spans="1:13" x14ac:dyDescent="0.25">
      <c r="A3" s="27" t="s">
        <v>2</v>
      </c>
      <c r="B3" s="1">
        <v>50</v>
      </c>
      <c r="C3" t="s">
        <v>3</v>
      </c>
      <c r="I3" s="82" t="s">
        <v>98</v>
      </c>
      <c r="J3" s="82"/>
      <c r="K3" s="82"/>
      <c r="L3" s="1">
        <v>60</v>
      </c>
      <c r="M3" t="s">
        <v>99</v>
      </c>
    </row>
    <row r="4" spans="1:13" x14ac:dyDescent="0.25">
      <c r="I4" s="82" t="s">
        <v>100</v>
      </c>
      <c r="J4" s="82"/>
      <c r="K4" s="82"/>
      <c r="L4" s="1">
        <v>30</v>
      </c>
      <c r="M4" t="s">
        <v>101</v>
      </c>
    </row>
    <row r="5" spans="1:13" x14ac:dyDescent="0.25">
      <c r="I5" s="82" t="s">
        <v>102</v>
      </c>
      <c r="J5" s="82"/>
      <c r="K5" s="82"/>
      <c r="L5" s="1">
        <v>2</v>
      </c>
    </row>
    <row r="6" spans="1:13" x14ac:dyDescent="0.25">
      <c r="A6" s="30" t="s">
        <v>93</v>
      </c>
      <c r="B6" s="1">
        <v>700000</v>
      </c>
    </row>
    <row r="7" spans="1:13" x14ac:dyDescent="0.25">
      <c r="A7" s="30" t="s">
        <v>4</v>
      </c>
      <c r="B7" s="28">
        <v>0.3</v>
      </c>
      <c r="I7" s="82" t="s">
        <v>104</v>
      </c>
      <c r="J7" s="82"/>
      <c r="K7" s="82"/>
      <c r="L7" s="1">
        <v>800</v>
      </c>
      <c r="M7" t="s">
        <v>106</v>
      </c>
    </row>
    <row r="8" spans="1:13" x14ac:dyDescent="0.25">
      <c r="A8" s="30" t="s">
        <v>5</v>
      </c>
      <c r="B8" s="28">
        <v>0.18</v>
      </c>
      <c r="I8" s="82" t="s">
        <v>105</v>
      </c>
      <c r="J8" s="82"/>
      <c r="K8" s="82"/>
      <c r="L8" s="1">
        <f>L7*3</f>
        <v>2400</v>
      </c>
      <c r="M8" t="s">
        <v>107</v>
      </c>
    </row>
    <row r="9" spans="1:13" x14ac:dyDescent="0.25">
      <c r="A9" s="30" t="s">
        <v>6</v>
      </c>
      <c r="B9" s="1">
        <v>10000</v>
      </c>
    </row>
    <row r="10" spans="1:13" x14ac:dyDescent="0.25">
      <c r="A10" s="27" t="s">
        <v>7</v>
      </c>
      <c r="B10" s="1">
        <v>5000</v>
      </c>
      <c r="I10" s="82" t="s">
        <v>109</v>
      </c>
      <c r="J10" s="82"/>
      <c r="K10" s="82"/>
      <c r="L10" s="1">
        <v>2</v>
      </c>
    </row>
    <row r="11" spans="1:13" x14ac:dyDescent="0.25">
      <c r="A11" s="27" t="s">
        <v>68</v>
      </c>
      <c r="B11" s="1">
        <v>2000000</v>
      </c>
      <c r="I11" s="82" t="s">
        <v>108</v>
      </c>
      <c r="J11" s="82"/>
      <c r="K11" s="82"/>
      <c r="L11" s="1">
        <v>50000</v>
      </c>
    </row>
    <row r="12" spans="1:13" x14ac:dyDescent="0.25">
      <c r="A12" s="27" t="s">
        <v>69</v>
      </c>
      <c r="B12" s="1">
        <v>6000</v>
      </c>
      <c r="I12" s="82" t="s">
        <v>110</v>
      </c>
      <c r="J12" s="82"/>
      <c r="K12" s="82"/>
      <c r="L12" s="1">
        <v>20000</v>
      </c>
    </row>
    <row r="13" spans="1:13" x14ac:dyDescent="0.25">
      <c r="A13" s="27" t="s">
        <v>8</v>
      </c>
      <c r="B13" s="1">
        <v>150000</v>
      </c>
    </row>
    <row r="14" spans="1:13" x14ac:dyDescent="0.25">
      <c r="A14" s="27" t="s">
        <v>9</v>
      </c>
      <c r="B14" s="1">
        <v>2000000</v>
      </c>
      <c r="I14" s="82" t="s">
        <v>111</v>
      </c>
      <c r="J14" s="82"/>
      <c r="K14" s="82"/>
      <c r="L14" s="28">
        <v>0.2</v>
      </c>
      <c r="M14" t="s">
        <v>112</v>
      </c>
    </row>
    <row r="15" spans="1:13" x14ac:dyDescent="0.25">
      <c r="A15" s="27" t="s">
        <v>36</v>
      </c>
      <c r="B15" s="29">
        <v>45000000</v>
      </c>
    </row>
    <row r="16" spans="1:13" x14ac:dyDescent="0.25">
      <c r="A16" s="27" t="s">
        <v>10</v>
      </c>
      <c r="B16" s="1">
        <v>4000000</v>
      </c>
      <c r="I16" s="81" t="s">
        <v>115</v>
      </c>
      <c r="J16" s="81"/>
      <c r="K16" s="81"/>
      <c r="L16">
        <f>12*2</f>
        <v>24</v>
      </c>
    </row>
    <row r="17" spans="1:12" x14ac:dyDescent="0.25">
      <c r="A17" s="27" t="s">
        <v>11</v>
      </c>
      <c r="B17" s="1">
        <v>5000</v>
      </c>
    </row>
    <row r="18" spans="1:12" x14ac:dyDescent="0.25">
      <c r="A18" s="27" t="s">
        <v>12</v>
      </c>
      <c r="B18" s="28">
        <v>0.4</v>
      </c>
      <c r="C18" t="s">
        <v>13</v>
      </c>
      <c r="I18" s="81" t="s">
        <v>116</v>
      </c>
      <c r="J18" s="81"/>
      <c r="K18" s="81"/>
      <c r="L18">
        <v>15</v>
      </c>
    </row>
    <row r="19" spans="1:12" x14ac:dyDescent="0.25">
      <c r="A19" s="27" t="s">
        <v>14</v>
      </c>
      <c r="B19" s="1">
        <v>30</v>
      </c>
      <c r="C19" t="s">
        <v>59</v>
      </c>
    </row>
    <row r="20" spans="1:12" x14ac:dyDescent="0.25">
      <c r="A20" s="27" t="s">
        <v>15</v>
      </c>
      <c r="B20" s="1">
        <v>100000</v>
      </c>
    </row>
    <row r="21" spans="1:12" x14ac:dyDescent="0.25">
      <c r="A21" s="27" t="s">
        <v>87</v>
      </c>
      <c r="B21" s="1">
        <v>10000000</v>
      </c>
    </row>
    <row r="22" spans="1:12" x14ac:dyDescent="0.25">
      <c r="A22" s="47" t="s">
        <v>89</v>
      </c>
      <c r="B22" s="48">
        <v>2000000</v>
      </c>
    </row>
    <row r="23" spans="1:12" x14ac:dyDescent="0.25">
      <c r="A23" s="47" t="s">
        <v>92</v>
      </c>
      <c r="B23" s="48">
        <v>100</v>
      </c>
    </row>
    <row r="25" spans="1:12" x14ac:dyDescent="0.25">
      <c r="A25" s="2" t="s">
        <v>16</v>
      </c>
    </row>
    <row r="26" spans="1:12" x14ac:dyDescent="0.25">
      <c r="A26" t="s">
        <v>17</v>
      </c>
      <c r="B26">
        <f>B9+B10</f>
        <v>15000</v>
      </c>
    </row>
    <row r="27" spans="1:12" x14ac:dyDescent="0.25">
      <c r="A27" t="s">
        <v>18</v>
      </c>
      <c r="B27">
        <v>500000</v>
      </c>
    </row>
    <row r="28" spans="1:12" x14ac:dyDescent="0.25">
      <c r="A28" t="s">
        <v>19</v>
      </c>
      <c r="B28">
        <v>200000</v>
      </c>
    </row>
    <row r="30" spans="1:12" x14ac:dyDescent="0.25">
      <c r="A30" s="2" t="s">
        <v>20</v>
      </c>
    </row>
    <row r="31" spans="1:12" x14ac:dyDescent="0.25">
      <c r="A31" t="s">
        <v>21</v>
      </c>
      <c r="B31">
        <f>10000*B2</f>
        <v>100000</v>
      </c>
    </row>
    <row r="32" spans="1:12" x14ac:dyDescent="0.25">
      <c r="A32" t="s">
        <v>22</v>
      </c>
      <c r="B32">
        <f>10000*B2</f>
        <v>100000</v>
      </c>
    </row>
    <row r="33" spans="1:11" x14ac:dyDescent="0.25">
      <c r="A33" t="s">
        <v>23</v>
      </c>
      <c r="B33">
        <f>5000*B2</f>
        <v>50000</v>
      </c>
    </row>
    <row r="34" spans="1:11" x14ac:dyDescent="0.25">
      <c r="A34" t="s">
        <v>24</v>
      </c>
      <c r="B34">
        <v>30000</v>
      </c>
    </row>
    <row r="35" spans="1:11" x14ac:dyDescent="0.25">
      <c r="A35" t="s">
        <v>25</v>
      </c>
      <c r="B35">
        <v>100000</v>
      </c>
    </row>
    <row r="36" spans="1:11" x14ac:dyDescent="0.25">
      <c r="A36" t="s">
        <v>26</v>
      </c>
      <c r="B36">
        <v>20000</v>
      </c>
    </row>
    <row r="37" spans="1:11" ht="15.75" thickBot="1" x14ac:dyDescent="0.3"/>
    <row r="38" spans="1:11" ht="60.75" thickBot="1" x14ac:dyDescent="0.3">
      <c r="A38" s="3" t="s">
        <v>27</v>
      </c>
      <c r="B38" s="4" t="s">
        <v>28</v>
      </c>
      <c r="C38" s="4" t="s">
        <v>29</v>
      </c>
      <c r="D38" s="4" t="s">
        <v>30</v>
      </c>
      <c r="E38" s="4" t="s">
        <v>31</v>
      </c>
      <c r="F38" s="49" t="s">
        <v>91</v>
      </c>
    </row>
    <row r="39" spans="1:11" ht="15.75" thickBot="1" x14ac:dyDescent="0.3">
      <c r="A39" s="5" t="s">
        <v>32</v>
      </c>
      <c r="B39" s="6">
        <v>100</v>
      </c>
      <c r="C39" s="6">
        <v>1000</v>
      </c>
      <c r="D39" s="6">
        <v>5</v>
      </c>
      <c r="E39" s="7">
        <v>0.8</v>
      </c>
      <c r="F39" s="50">
        <v>10</v>
      </c>
    </row>
    <row r="40" spans="1:11" ht="15.75" thickBot="1" x14ac:dyDescent="0.3">
      <c r="A40" s="5" t="s">
        <v>33</v>
      </c>
      <c r="B40" s="6">
        <f>1.2*B39</f>
        <v>120</v>
      </c>
      <c r="C40" s="6">
        <f>C39+200</f>
        <v>1200</v>
      </c>
      <c r="D40" s="6">
        <f>0.8*D39</f>
        <v>4</v>
      </c>
      <c r="E40" s="8">
        <f>1.2*E39</f>
        <v>0.96</v>
      </c>
      <c r="F40" s="46">
        <v>8</v>
      </c>
    </row>
    <row r="41" spans="1:11" ht="15.75" thickBot="1" x14ac:dyDescent="0.3">
      <c r="A41" s="5" t="s">
        <v>34</v>
      </c>
      <c r="B41" s="6">
        <f>1.4*B39</f>
        <v>140</v>
      </c>
      <c r="C41" s="6">
        <f>C39+400</f>
        <v>1400</v>
      </c>
      <c r="D41" s="6">
        <f>0.5*D39</f>
        <v>2.5</v>
      </c>
      <c r="E41" s="8">
        <f>0.8*E39</f>
        <v>0.64000000000000012</v>
      </c>
      <c r="F41" s="46">
        <v>5</v>
      </c>
    </row>
    <row r="43" spans="1:11" x14ac:dyDescent="0.25">
      <c r="A43" s="44" t="s">
        <v>84</v>
      </c>
      <c r="B43">
        <f>30*6</f>
        <v>180</v>
      </c>
      <c r="C43" t="s">
        <v>85</v>
      </c>
    </row>
    <row r="45" spans="1:11" ht="21" x14ac:dyDescent="0.35">
      <c r="A45" s="43" t="s">
        <v>35</v>
      </c>
    </row>
    <row r="47" spans="1:11" x14ac:dyDescent="0.25">
      <c r="B47" s="9" t="s">
        <v>53</v>
      </c>
      <c r="C47" s="9" t="s">
        <v>54</v>
      </c>
      <c r="D47" s="9" t="s">
        <v>55</v>
      </c>
      <c r="E47" s="9" t="s">
        <v>56</v>
      </c>
      <c r="F47" s="9" t="s">
        <v>57</v>
      </c>
      <c r="G47" s="9" t="s">
        <v>58</v>
      </c>
      <c r="H47" s="9" t="s">
        <v>60</v>
      </c>
      <c r="I47" s="9" t="s">
        <v>61</v>
      </c>
      <c r="J47" s="9" t="s">
        <v>62</v>
      </c>
      <c r="K47" s="9" t="s">
        <v>63</v>
      </c>
    </row>
    <row r="48" spans="1:11" x14ac:dyDescent="0.25">
      <c r="A48" s="10" t="s">
        <v>36</v>
      </c>
      <c r="B48" s="11">
        <f>B15</f>
        <v>45000000</v>
      </c>
      <c r="C48" s="12">
        <f t="shared" ref="C48:K48" si="0">B80</f>
        <v>44226000</v>
      </c>
      <c r="D48" s="12">
        <f t="shared" si="0"/>
        <v>33344800</v>
      </c>
      <c r="E48" s="12">
        <f t="shared" si="0"/>
        <v>28669424</v>
      </c>
      <c r="F48" s="12">
        <f t="shared" si="0"/>
        <v>25494048</v>
      </c>
      <c r="G48" s="12">
        <f t="shared" si="0"/>
        <v>27120592</v>
      </c>
      <c r="H48" s="12">
        <f t="shared" si="0"/>
        <v>28747136</v>
      </c>
      <c r="I48" s="12">
        <f t="shared" si="0"/>
        <v>30373680</v>
      </c>
      <c r="J48" s="12">
        <f t="shared" si="0"/>
        <v>32000224</v>
      </c>
      <c r="K48" s="12">
        <f t="shared" si="0"/>
        <v>33626768</v>
      </c>
    </row>
    <row r="49" spans="1:14" x14ac:dyDescent="0.25">
      <c r="A49" s="78" t="s">
        <v>37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24"/>
      <c r="M49" s="80" t="s">
        <v>88</v>
      </c>
      <c r="N49" s="80"/>
    </row>
    <row r="50" spans="1:14" x14ac:dyDescent="0.25">
      <c r="A50" s="13" t="s">
        <v>64</v>
      </c>
      <c r="B50" s="14">
        <v>0</v>
      </c>
      <c r="C50" s="14">
        <v>0</v>
      </c>
      <c r="D50" s="14">
        <f>B39*D39*E39*$B$43*$B$3</f>
        <v>3600000</v>
      </c>
      <c r="E50" s="14">
        <f>B39*D39*E39*$B$43*$B$3</f>
        <v>3600000</v>
      </c>
      <c r="F50" s="14">
        <f>B39*D39*E39*$B$43*$B$3</f>
        <v>3600000</v>
      </c>
      <c r="G50" s="14">
        <f>B39*D39*E39*$B$43*$B$3</f>
        <v>3600000</v>
      </c>
      <c r="H50" s="14">
        <f>B39*D39*E39*$B$43*$B$3</f>
        <v>3600000</v>
      </c>
      <c r="I50" s="14">
        <f>B39*D39*E39*$B$43*$B$3</f>
        <v>3600000</v>
      </c>
      <c r="J50" s="14">
        <f>B39*D39*E39*$B$43*$B$3</f>
        <v>3600000</v>
      </c>
      <c r="K50" s="14">
        <f>B39*D39*E39*$B$43*$B$3</f>
        <v>3600000</v>
      </c>
      <c r="M50" s="80"/>
      <c r="N50" s="80"/>
    </row>
    <row r="51" spans="1:14" x14ac:dyDescent="0.25">
      <c r="A51" s="13" t="s">
        <v>65</v>
      </c>
      <c r="B51" s="14">
        <v>0</v>
      </c>
      <c r="C51" s="14">
        <v>0</v>
      </c>
      <c r="D51" s="14">
        <f t="shared" ref="D51" si="1">B40*D40*E40*$B$43*$B$3</f>
        <v>4147199.9999999991</v>
      </c>
      <c r="E51" s="14">
        <f t="shared" ref="E51" si="2">B40*D40*E40*$B$43*$B$3</f>
        <v>4147199.9999999991</v>
      </c>
      <c r="F51" s="14">
        <f t="shared" ref="F51" si="3">B40*D40*E40*$B$43*$B$3</f>
        <v>4147199.9999999991</v>
      </c>
      <c r="G51" s="14">
        <f t="shared" ref="G51" si="4">B40*D40*E40*$B$43*$B$3</f>
        <v>4147199.9999999991</v>
      </c>
      <c r="H51" s="14">
        <f t="shared" ref="H51" si="5">B40*D40*E40*$B$43*$B$3</f>
        <v>4147199.9999999991</v>
      </c>
      <c r="I51" s="14">
        <f t="shared" ref="I51" si="6">B40*D40*E40*$B$43*$B$3</f>
        <v>4147199.9999999991</v>
      </c>
      <c r="J51" s="14">
        <f t="shared" ref="J51" si="7">B40*D40*E40*$B$43*$B$3</f>
        <v>4147199.9999999991</v>
      </c>
      <c r="K51" s="14">
        <f t="shared" ref="K51" si="8">B40*D40*E40*$B$43*$B$3</f>
        <v>4147199.9999999991</v>
      </c>
      <c r="M51" s="80"/>
      <c r="N51" s="80"/>
    </row>
    <row r="52" spans="1:14" x14ac:dyDescent="0.25">
      <c r="A52" s="13" t="s">
        <v>66</v>
      </c>
      <c r="B52" s="14">
        <v>0</v>
      </c>
      <c r="C52" s="14">
        <v>0</v>
      </c>
      <c r="D52" s="14">
        <f>B41*D41*E41*$B$43*$B$3</f>
        <v>2016000.0000000005</v>
      </c>
      <c r="E52" s="14">
        <f>B41*D41*E41*$B$43*$B$3</f>
        <v>2016000.0000000005</v>
      </c>
      <c r="F52" s="14">
        <f>B41*D41*E41*$B$43*$B$3</f>
        <v>2016000.0000000005</v>
      </c>
      <c r="G52" s="14">
        <f>B41*D41*E41*$B$43*$B$3</f>
        <v>2016000.0000000005</v>
      </c>
      <c r="H52" s="14">
        <f>B41*D41*E41*$B$43*$B$3</f>
        <v>2016000.0000000005</v>
      </c>
      <c r="I52" s="14">
        <f>B41*D41*E41*$B$43*$B$3</f>
        <v>2016000.0000000005</v>
      </c>
      <c r="J52" s="14">
        <f>B41*D41*E41*$B$43*$B$3</f>
        <v>2016000.0000000005</v>
      </c>
      <c r="K52" s="14">
        <f>B41*D41*E41*$B$43*$B$3</f>
        <v>2016000.0000000005</v>
      </c>
      <c r="M52" s="80"/>
      <c r="N52" s="80"/>
    </row>
    <row r="53" spans="1:14" x14ac:dyDescent="0.25">
      <c r="A53" s="45" t="s">
        <v>103</v>
      </c>
      <c r="B53" s="54"/>
      <c r="C53" s="54"/>
      <c r="D53" s="54">
        <v>0</v>
      </c>
      <c r="E53" s="54">
        <v>0</v>
      </c>
      <c r="F53" s="54">
        <f>$L$3*$L$5*($L$7*(1-$L$4)+$L$8*$L$4)</f>
        <v>5856000</v>
      </c>
      <c r="G53" s="54">
        <f t="shared" ref="G53:K53" si="9">$L$3*$L$5*($L$7*(1-$L$4)+$L$8*$L$4)</f>
        <v>5856000</v>
      </c>
      <c r="H53" s="54">
        <f t="shared" si="9"/>
        <v>5856000</v>
      </c>
      <c r="I53" s="54">
        <f t="shared" si="9"/>
        <v>5856000</v>
      </c>
      <c r="J53" s="54">
        <f t="shared" si="9"/>
        <v>5856000</v>
      </c>
      <c r="K53" s="54">
        <f t="shared" si="9"/>
        <v>5856000</v>
      </c>
      <c r="M53" s="80"/>
      <c r="N53" s="80"/>
    </row>
    <row r="54" spans="1:14" x14ac:dyDescent="0.25">
      <c r="A54" s="15" t="s">
        <v>38</v>
      </c>
      <c r="B54" s="16">
        <f>SUM(B50:B52)</f>
        <v>0</v>
      </c>
      <c r="C54" s="16">
        <f>SUM(C50:C52)</f>
        <v>0</v>
      </c>
      <c r="D54" s="16">
        <f>SUM(D50:D53)</f>
        <v>9763200</v>
      </c>
      <c r="E54" s="16">
        <f t="shared" ref="E54:K54" si="10">SUM(E50:E53)</f>
        <v>9763200</v>
      </c>
      <c r="F54" s="16">
        <f t="shared" si="10"/>
        <v>15619200</v>
      </c>
      <c r="G54" s="16">
        <f t="shared" si="10"/>
        <v>15619200</v>
      </c>
      <c r="H54" s="16">
        <f t="shared" si="10"/>
        <v>15619200</v>
      </c>
      <c r="I54" s="16">
        <f t="shared" si="10"/>
        <v>15619200</v>
      </c>
      <c r="J54" s="16">
        <f t="shared" si="10"/>
        <v>15619200</v>
      </c>
      <c r="K54" s="16">
        <f t="shared" si="10"/>
        <v>15619200</v>
      </c>
      <c r="M54" s="80"/>
      <c r="N54" s="80"/>
    </row>
    <row r="55" spans="1:14" x14ac:dyDescent="0.25">
      <c r="A55" s="78" t="s">
        <v>39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1:14" x14ac:dyDescent="0.25">
      <c r="A56" s="13" t="s">
        <v>67</v>
      </c>
      <c r="B56" s="14">
        <f>$B$22</f>
        <v>2000000</v>
      </c>
      <c r="C56" s="14">
        <f>$B$22</f>
        <v>2000000</v>
      </c>
      <c r="D56" s="14">
        <f t="shared" ref="D56:K56" si="11">$C$56*$B$18</f>
        <v>800000</v>
      </c>
      <c r="E56" s="14">
        <f t="shared" si="11"/>
        <v>800000</v>
      </c>
      <c r="F56" s="14">
        <f t="shared" si="11"/>
        <v>800000</v>
      </c>
      <c r="G56" s="14">
        <f t="shared" si="11"/>
        <v>800000</v>
      </c>
      <c r="H56" s="14">
        <f t="shared" si="11"/>
        <v>800000</v>
      </c>
      <c r="I56" s="14">
        <f t="shared" si="11"/>
        <v>800000</v>
      </c>
      <c r="J56" s="14">
        <f t="shared" si="11"/>
        <v>800000</v>
      </c>
      <c r="K56" s="14">
        <f t="shared" si="11"/>
        <v>800000</v>
      </c>
      <c r="L56" s="24"/>
      <c r="M56" s="25"/>
    </row>
    <row r="57" spans="1:14" x14ac:dyDescent="0.25">
      <c r="A57" s="13" t="s">
        <v>11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</row>
    <row r="58" spans="1:14" x14ac:dyDescent="0.25">
      <c r="A58" s="13" t="s">
        <v>86</v>
      </c>
      <c r="B58" s="14">
        <f>B21</f>
        <v>10000000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</row>
    <row r="59" spans="1:14" x14ac:dyDescent="0.25">
      <c r="A59" s="13" t="s">
        <v>40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</row>
    <row r="60" spans="1:14" x14ac:dyDescent="0.25">
      <c r="A60" s="17" t="s">
        <v>41</v>
      </c>
      <c r="B60" s="16">
        <f t="shared" ref="B60:K60" si="12">SUM(B56:B59)</f>
        <v>12000000</v>
      </c>
      <c r="C60" s="16">
        <f t="shared" si="12"/>
        <v>2000000</v>
      </c>
      <c r="D60" s="16">
        <f t="shared" si="12"/>
        <v>800000</v>
      </c>
      <c r="E60" s="16">
        <f t="shared" si="12"/>
        <v>800000</v>
      </c>
      <c r="F60" s="16">
        <f t="shared" si="12"/>
        <v>800000</v>
      </c>
      <c r="G60" s="16">
        <f t="shared" si="12"/>
        <v>800000</v>
      </c>
      <c r="H60" s="16">
        <f t="shared" si="12"/>
        <v>800000</v>
      </c>
      <c r="I60" s="16">
        <f t="shared" si="12"/>
        <v>800000</v>
      </c>
      <c r="J60" s="16">
        <f t="shared" si="12"/>
        <v>800000</v>
      </c>
      <c r="K60" s="16">
        <f t="shared" si="12"/>
        <v>800000</v>
      </c>
    </row>
    <row r="61" spans="1:14" x14ac:dyDescent="0.25">
      <c r="A61" s="18" t="s">
        <v>42</v>
      </c>
      <c r="B61" s="19">
        <f t="shared" ref="B61:K61" si="13">B54+B60</f>
        <v>12000000</v>
      </c>
      <c r="C61" s="19">
        <f t="shared" si="13"/>
        <v>2000000</v>
      </c>
      <c r="D61" s="19">
        <f t="shared" si="13"/>
        <v>10563200</v>
      </c>
      <c r="E61" s="19">
        <f t="shared" si="13"/>
        <v>10563200</v>
      </c>
      <c r="F61" s="19">
        <f t="shared" si="13"/>
        <v>16419200</v>
      </c>
      <c r="G61" s="19">
        <f t="shared" si="13"/>
        <v>16419200</v>
      </c>
      <c r="H61" s="19">
        <f t="shared" si="13"/>
        <v>16419200</v>
      </c>
      <c r="I61" s="19">
        <f t="shared" si="13"/>
        <v>16419200</v>
      </c>
      <c r="J61" s="19">
        <f t="shared" si="13"/>
        <v>16419200</v>
      </c>
      <c r="K61" s="19">
        <f t="shared" si="13"/>
        <v>16419200</v>
      </c>
    </row>
    <row r="62" spans="1:14" x14ac:dyDescent="0.25">
      <c r="A62" s="78" t="s">
        <v>43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1:14" x14ac:dyDescent="0.25">
      <c r="A63" s="13" t="s">
        <v>74</v>
      </c>
      <c r="B63" s="20">
        <f>$B$12*5*(1+$L$14)</f>
        <v>36000</v>
      </c>
      <c r="C63" s="20">
        <f>$B$12*6*(1+$L$14)</f>
        <v>43200</v>
      </c>
      <c r="D63" s="20">
        <f t="shared" ref="D63:K63" si="14">$B$12*6*(1+$L$14)</f>
        <v>43200</v>
      </c>
      <c r="E63" s="20">
        <f t="shared" si="14"/>
        <v>43200</v>
      </c>
      <c r="F63" s="20">
        <f t="shared" si="14"/>
        <v>43200</v>
      </c>
      <c r="G63" s="20">
        <f t="shared" si="14"/>
        <v>43200</v>
      </c>
      <c r="H63" s="20">
        <f t="shared" si="14"/>
        <v>43200</v>
      </c>
      <c r="I63" s="20">
        <f t="shared" si="14"/>
        <v>43200</v>
      </c>
      <c r="J63" s="20">
        <f t="shared" si="14"/>
        <v>43200</v>
      </c>
      <c r="K63" s="20">
        <f t="shared" si="14"/>
        <v>43200</v>
      </c>
    </row>
    <row r="64" spans="1:14" x14ac:dyDescent="0.25">
      <c r="A64" s="13" t="s">
        <v>72</v>
      </c>
      <c r="B64" s="20">
        <v>500000</v>
      </c>
      <c r="C64" s="20">
        <v>500000</v>
      </c>
      <c r="D64" s="20">
        <v>500000</v>
      </c>
      <c r="E64" s="20">
        <v>500000</v>
      </c>
      <c r="F64" s="20">
        <v>500000</v>
      </c>
      <c r="G64" s="20">
        <v>500000</v>
      </c>
      <c r="H64" s="20">
        <v>500000</v>
      </c>
      <c r="I64" s="20">
        <v>500000</v>
      </c>
      <c r="J64" s="20">
        <v>500000</v>
      </c>
      <c r="K64" s="20">
        <v>500000</v>
      </c>
    </row>
    <row r="65" spans="1:13" x14ac:dyDescent="0.25">
      <c r="A65" s="13" t="s">
        <v>73</v>
      </c>
      <c r="B65" s="20">
        <f>$B$23*($F$39+$F$40+$F$41)*6*$B$43</f>
        <v>2484000</v>
      </c>
      <c r="C65" s="20">
        <f t="shared" ref="C65:K65" si="15">$B$23*($F$39+$F$40+$F$41)*6*$B$43</f>
        <v>2484000</v>
      </c>
      <c r="D65" s="20">
        <f t="shared" si="15"/>
        <v>2484000</v>
      </c>
      <c r="E65" s="20">
        <f t="shared" si="15"/>
        <v>2484000</v>
      </c>
      <c r="F65" s="20">
        <f t="shared" si="15"/>
        <v>2484000</v>
      </c>
      <c r="G65" s="20">
        <f t="shared" si="15"/>
        <v>2484000</v>
      </c>
      <c r="H65" s="20">
        <f t="shared" si="15"/>
        <v>2484000</v>
      </c>
      <c r="I65" s="20">
        <f t="shared" si="15"/>
        <v>2484000</v>
      </c>
      <c r="J65" s="20">
        <f t="shared" si="15"/>
        <v>2484000</v>
      </c>
      <c r="K65" s="20">
        <f t="shared" si="15"/>
        <v>2484000</v>
      </c>
    </row>
    <row r="66" spans="1:13" x14ac:dyDescent="0.25">
      <c r="A66" s="13" t="s">
        <v>114</v>
      </c>
      <c r="B66" s="20">
        <f>B64/10*2</f>
        <v>100000</v>
      </c>
      <c r="C66" s="20">
        <f t="shared" ref="C66:K66" si="16">C64/10*2</f>
        <v>100000</v>
      </c>
      <c r="D66" s="20">
        <f t="shared" si="16"/>
        <v>100000</v>
      </c>
      <c r="E66" s="20">
        <f t="shared" si="16"/>
        <v>100000</v>
      </c>
      <c r="F66" s="20">
        <f t="shared" si="16"/>
        <v>100000</v>
      </c>
      <c r="G66" s="20">
        <f t="shared" si="16"/>
        <v>100000</v>
      </c>
      <c r="H66" s="20">
        <f t="shared" si="16"/>
        <v>100000</v>
      </c>
      <c r="I66" s="20">
        <f t="shared" si="16"/>
        <v>100000</v>
      </c>
      <c r="J66" s="20">
        <f t="shared" si="16"/>
        <v>100000</v>
      </c>
      <c r="K66" s="20">
        <f t="shared" si="16"/>
        <v>100000</v>
      </c>
    </row>
    <row r="67" spans="1:13" x14ac:dyDescent="0.25">
      <c r="A67" s="13" t="s">
        <v>113</v>
      </c>
      <c r="B67" s="20">
        <f>$L$16*$B$23*$B$43*$L$5</f>
        <v>864000</v>
      </c>
      <c r="C67" s="20">
        <f t="shared" ref="C67:K67" si="17">$L$16*$B$23*$B$43*$L$5</f>
        <v>864000</v>
      </c>
      <c r="D67" s="20">
        <f t="shared" si="17"/>
        <v>864000</v>
      </c>
      <c r="E67" s="20">
        <f t="shared" si="17"/>
        <v>864000</v>
      </c>
      <c r="F67" s="20">
        <f t="shared" si="17"/>
        <v>864000</v>
      </c>
      <c r="G67" s="20">
        <f t="shared" si="17"/>
        <v>864000</v>
      </c>
      <c r="H67" s="20">
        <f t="shared" si="17"/>
        <v>864000</v>
      </c>
      <c r="I67" s="20">
        <f t="shared" si="17"/>
        <v>864000</v>
      </c>
      <c r="J67" s="20">
        <f t="shared" si="17"/>
        <v>864000</v>
      </c>
      <c r="K67" s="20">
        <f t="shared" si="17"/>
        <v>864000</v>
      </c>
    </row>
    <row r="68" spans="1:13" x14ac:dyDescent="0.25">
      <c r="A68" s="13" t="s">
        <v>71</v>
      </c>
      <c r="B68" s="20">
        <v>0</v>
      </c>
      <c r="C68" s="20">
        <f t="shared" ref="C68:K68" si="18">$B$20</f>
        <v>100000</v>
      </c>
      <c r="D68" s="20">
        <f t="shared" si="18"/>
        <v>100000</v>
      </c>
      <c r="E68" s="20">
        <f t="shared" si="18"/>
        <v>100000</v>
      </c>
      <c r="F68" s="20">
        <f t="shared" si="18"/>
        <v>100000</v>
      </c>
      <c r="G68" s="20">
        <f t="shared" si="18"/>
        <v>100000</v>
      </c>
      <c r="H68" s="20">
        <f t="shared" si="18"/>
        <v>100000</v>
      </c>
      <c r="I68" s="20">
        <f t="shared" si="18"/>
        <v>100000</v>
      </c>
      <c r="J68" s="20">
        <f t="shared" si="18"/>
        <v>100000</v>
      </c>
      <c r="K68" s="20">
        <f t="shared" si="18"/>
        <v>100000</v>
      </c>
      <c r="L68" s="24"/>
      <c r="M68" s="25"/>
    </row>
    <row r="69" spans="1:13" x14ac:dyDescent="0.25">
      <c r="A69" s="13" t="s">
        <v>70</v>
      </c>
      <c r="B69" s="20">
        <f>$B$28*6/2</f>
        <v>600000</v>
      </c>
      <c r="C69" s="20">
        <f>$B$28*6/2</f>
        <v>600000</v>
      </c>
      <c r="D69" s="20">
        <f t="shared" ref="D69:K69" si="19">$B$28*6</f>
        <v>1200000</v>
      </c>
      <c r="E69" s="20">
        <f t="shared" si="19"/>
        <v>1200000</v>
      </c>
      <c r="F69" s="20">
        <f t="shared" si="19"/>
        <v>1200000</v>
      </c>
      <c r="G69" s="20">
        <f t="shared" si="19"/>
        <v>1200000</v>
      </c>
      <c r="H69" s="20">
        <f t="shared" si="19"/>
        <v>1200000</v>
      </c>
      <c r="I69" s="20">
        <f t="shared" si="19"/>
        <v>1200000</v>
      </c>
      <c r="J69" s="20">
        <f t="shared" si="19"/>
        <v>1200000</v>
      </c>
      <c r="K69" s="20">
        <f t="shared" si="19"/>
        <v>1200000</v>
      </c>
    </row>
    <row r="70" spans="1:13" x14ac:dyDescent="0.25">
      <c r="A70" s="13" t="s">
        <v>44</v>
      </c>
      <c r="B70" s="20">
        <f>$B$26*6</f>
        <v>90000</v>
      </c>
      <c r="C70" s="20">
        <f t="shared" ref="C70:K70" si="20">$B$26*6</f>
        <v>90000</v>
      </c>
      <c r="D70" s="20">
        <f t="shared" si="20"/>
        <v>90000</v>
      </c>
      <c r="E70" s="20">
        <f t="shared" si="20"/>
        <v>90000</v>
      </c>
      <c r="F70" s="20">
        <f t="shared" si="20"/>
        <v>90000</v>
      </c>
      <c r="G70" s="20">
        <f t="shared" si="20"/>
        <v>90000</v>
      </c>
      <c r="H70" s="20">
        <f t="shared" si="20"/>
        <v>90000</v>
      </c>
      <c r="I70" s="20">
        <f t="shared" si="20"/>
        <v>90000</v>
      </c>
      <c r="J70" s="20">
        <f t="shared" si="20"/>
        <v>90000</v>
      </c>
      <c r="K70" s="20">
        <f t="shared" si="20"/>
        <v>90000</v>
      </c>
    </row>
    <row r="71" spans="1:13" x14ac:dyDescent="0.25">
      <c r="A71" s="13" t="s">
        <v>45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</row>
    <row r="72" spans="1:13" x14ac:dyDescent="0.25">
      <c r="A72" s="13" t="s">
        <v>46</v>
      </c>
      <c r="B72" s="20">
        <f>$B$11</f>
        <v>2000000</v>
      </c>
      <c r="C72" s="20">
        <f t="shared" ref="C72:D72" si="21">$B$11</f>
        <v>2000000</v>
      </c>
      <c r="D72" s="20">
        <f t="shared" si="21"/>
        <v>2000000</v>
      </c>
      <c r="E72" s="20">
        <v>500000</v>
      </c>
      <c r="F72" s="20">
        <v>500000</v>
      </c>
      <c r="G72" s="20">
        <v>500000</v>
      </c>
      <c r="H72" s="20">
        <v>500000</v>
      </c>
      <c r="I72" s="20">
        <v>500000</v>
      </c>
      <c r="J72" s="20">
        <v>500000</v>
      </c>
      <c r="K72" s="20">
        <v>500000</v>
      </c>
    </row>
    <row r="73" spans="1:13" x14ac:dyDescent="0.25">
      <c r="A73" s="13" t="s">
        <v>47</v>
      </c>
      <c r="B73" s="20">
        <f t="shared" ref="B73:K73" si="22">B54*$B$8</f>
        <v>0</v>
      </c>
      <c r="C73" s="20">
        <f t="shared" si="22"/>
        <v>0</v>
      </c>
      <c r="D73" s="20">
        <f t="shared" si="22"/>
        <v>1757376</v>
      </c>
      <c r="E73" s="20">
        <f t="shared" si="22"/>
        <v>1757376</v>
      </c>
      <c r="F73" s="20">
        <f t="shared" si="22"/>
        <v>2811456</v>
      </c>
      <c r="G73" s="20">
        <f t="shared" si="22"/>
        <v>2811456</v>
      </c>
      <c r="H73" s="20">
        <f t="shared" si="22"/>
        <v>2811456</v>
      </c>
      <c r="I73" s="20">
        <f t="shared" si="22"/>
        <v>2811456</v>
      </c>
      <c r="J73" s="20">
        <f t="shared" si="22"/>
        <v>2811456</v>
      </c>
      <c r="K73" s="20">
        <f t="shared" si="22"/>
        <v>2811456</v>
      </c>
    </row>
    <row r="74" spans="1:13" x14ac:dyDescent="0.25">
      <c r="A74" s="13" t="s">
        <v>90</v>
      </c>
      <c r="B74" s="20">
        <f>($B$27+$B$31+$B$32+$B$33+$B$34+$B$35+$B$36)*6</f>
        <v>5400000</v>
      </c>
      <c r="C74" s="20">
        <f t="shared" ref="C74:K74" si="23">($B$27+$B$31+$B$32+$B$33+$B$34+$B$35+$B$36)*6</f>
        <v>5400000</v>
      </c>
      <c r="D74" s="20">
        <f t="shared" si="23"/>
        <v>5400000</v>
      </c>
      <c r="E74" s="20">
        <f t="shared" si="23"/>
        <v>5400000</v>
      </c>
      <c r="F74" s="20">
        <f t="shared" si="23"/>
        <v>5400000</v>
      </c>
      <c r="G74" s="20">
        <f t="shared" si="23"/>
        <v>5400000</v>
      </c>
      <c r="H74" s="20">
        <f t="shared" si="23"/>
        <v>5400000</v>
      </c>
      <c r="I74" s="20">
        <f t="shared" si="23"/>
        <v>5400000</v>
      </c>
      <c r="J74" s="20">
        <f t="shared" si="23"/>
        <v>5400000</v>
      </c>
      <c r="K74" s="20">
        <f t="shared" si="23"/>
        <v>5400000</v>
      </c>
    </row>
    <row r="75" spans="1:13" x14ac:dyDescent="0.25">
      <c r="A75" s="15" t="s">
        <v>48</v>
      </c>
      <c r="B75" s="21">
        <f t="shared" ref="B75:K75" si="24">SUM(B63:B74)</f>
        <v>12074000</v>
      </c>
      <c r="C75" s="21">
        <f t="shared" si="24"/>
        <v>12181200</v>
      </c>
      <c r="D75" s="21">
        <f t="shared" si="24"/>
        <v>14538576</v>
      </c>
      <c r="E75" s="21">
        <f t="shared" si="24"/>
        <v>13038576</v>
      </c>
      <c r="F75" s="21">
        <f t="shared" si="24"/>
        <v>14092656</v>
      </c>
      <c r="G75" s="21">
        <f t="shared" si="24"/>
        <v>14092656</v>
      </c>
      <c r="H75" s="21">
        <f t="shared" si="24"/>
        <v>14092656</v>
      </c>
      <c r="I75" s="21">
        <f t="shared" si="24"/>
        <v>14092656</v>
      </c>
      <c r="J75" s="21">
        <f t="shared" si="24"/>
        <v>14092656</v>
      </c>
      <c r="K75" s="21">
        <f t="shared" si="24"/>
        <v>14092656</v>
      </c>
    </row>
    <row r="76" spans="1:13" x14ac:dyDescent="0.25">
      <c r="A76" s="78" t="s">
        <v>49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1:13" x14ac:dyDescent="0.25">
      <c r="A77" s="13" t="s">
        <v>94</v>
      </c>
      <c r="B77" s="22">
        <f>$B$6</f>
        <v>700000</v>
      </c>
      <c r="C77" s="22">
        <f t="shared" ref="C77:K77" si="25">$B$6</f>
        <v>700000</v>
      </c>
      <c r="D77" s="22">
        <f t="shared" si="25"/>
        <v>700000</v>
      </c>
      <c r="E77" s="22">
        <f t="shared" si="25"/>
        <v>700000</v>
      </c>
      <c r="F77" s="22">
        <f t="shared" si="25"/>
        <v>700000</v>
      </c>
      <c r="G77" s="22">
        <f t="shared" si="25"/>
        <v>700000</v>
      </c>
      <c r="H77" s="22">
        <f t="shared" si="25"/>
        <v>700000</v>
      </c>
      <c r="I77" s="22">
        <f t="shared" si="25"/>
        <v>700000</v>
      </c>
      <c r="J77" s="22">
        <f t="shared" si="25"/>
        <v>700000</v>
      </c>
      <c r="K77" s="22">
        <f t="shared" si="25"/>
        <v>700000</v>
      </c>
      <c r="L77" s="24"/>
      <c r="M77" s="25"/>
    </row>
    <row r="78" spans="1:13" x14ac:dyDescent="0.25">
      <c r="A78" s="15" t="s">
        <v>50</v>
      </c>
      <c r="B78" s="21">
        <f t="shared" ref="B78:K78" si="26">SUM(B77:B77)</f>
        <v>700000</v>
      </c>
      <c r="C78" s="21">
        <f t="shared" si="26"/>
        <v>700000</v>
      </c>
      <c r="D78" s="21">
        <f t="shared" si="26"/>
        <v>700000</v>
      </c>
      <c r="E78" s="21">
        <f t="shared" si="26"/>
        <v>700000</v>
      </c>
      <c r="F78" s="21">
        <f t="shared" si="26"/>
        <v>700000</v>
      </c>
      <c r="G78" s="21">
        <f t="shared" si="26"/>
        <v>700000</v>
      </c>
      <c r="H78" s="21">
        <f t="shared" si="26"/>
        <v>700000</v>
      </c>
      <c r="I78" s="21">
        <f t="shared" si="26"/>
        <v>700000</v>
      </c>
      <c r="J78" s="21">
        <f t="shared" si="26"/>
        <v>700000</v>
      </c>
      <c r="K78" s="21">
        <f t="shared" si="26"/>
        <v>700000</v>
      </c>
    </row>
    <row r="79" spans="1:13" x14ac:dyDescent="0.25">
      <c r="A79" s="18" t="s">
        <v>51</v>
      </c>
      <c r="B79" s="19">
        <f t="shared" ref="B79:K79" si="27">B78+B75</f>
        <v>12774000</v>
      </c>
      <c r="C79" s="19">
        <f t="shared" si="27"/>
        <v>12881200</v>
      </c>
      <c r="D79" s="19">
        <f t="shared" si="27"/>
        <v>15238576</v>
      </c>
      <c r="E79" s="19">
        <f t="shared" si="27"/>
        <v>13738576</v>
      </c>
      <c r="F79" s="19">
        <f t="shared" si="27"/>
        <v>14792656</v>
      </c>
      <c r="G79" s="19">
        <f t="shared" si="27"/>
        <v>14792656</v>
      </c>
      <c r="H79" s="19">
        <f t="shared" si="27"/>
        <v>14792656</v>
      </c>
      <c r="I79" s="19">
        <f t="shared" si="27"/>
        <v>14792656</v>
      </c>
      <c r="J79" s="19">
        <f t="shared" si="27"/>
        <v>14792656</v>
      </c>
      <c r="K79" s="19">
        <f t="shared" si="27"/>
        <v>14792656</v>
      </c>
    </row>
    <row r="80" spans="1:13" x14ac:dyDescent="0.25">
      <c r="A80" s="10" t="s">
        <v>52</v>
      </c>
      <c r="B80" s="23">
        <f t="shared" ref="B80:K80" si="28">B48+B61-B79</f>
        <v>44226000</v>
      </c>
      <c r="C80" s="23">
        <f t="shared" si="28"/>
        <v>33344800</v>
      </c>
      <c r="D80" s="23">
        <f t="shared" si="28"/>
        <v>28669424</v>
      </c>
      <c r="E80" s="23">
        <f t="shared" si="28"/>
        <v>25494048</v>
      </c>
      <c r="F80" s="23">
        <f t="shared" si="28"/>
        <v>27120592</v>
      </c>
      <c r="G80" s="23">
        <f t="shared" si="28"/>
        <v>28747136</v>
      </c>
      <c r="H80" s="23">
        <f t="shared" si="28"/>
        <v>30373680</v>
      </c>
      <c r="I80" s="23">
        <f t="shared" si="28"/>
        <v>32000224</v>
      </c>
      <c r="J80" s="23">
        <f t="shared" si="28"/>
        <v>33626768</v>
      </c>
      <c r="K80" s="23">
        <f t="shared" si="28"/>
        <v>35253312</v>
      </c>
    </row>
    <row r="83" spans="1:13" ht="21" x14ac:dyDescent="0.35">
      <c r="A83" s="43" t="s">
        <v>75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spans="1:13" x14ac:dyDescent="0.25">
      <c r="A84" s="3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spans="1:13" x14ac:dyDescent="0.25">
      <c r="A85" s="33" t="s">
        <v>76</v>
      </c>
      <c r="B85" s="34">
        <f>B54-B75</f>
        <v>-12074000</v>
      </c>
      <c r="C85" s="34">
        <f t="shared" ref="C85:K85" si="29">C54-C74</f>
        <v>-5400000</v>
      </c>
      <c r="D85" s="34">
        <f t="shared" si="29"/>
        <v>4363200</v>
      </c>
      <c r="E85" s="34">
        <f t="shared" si="29"/>
        <v>4363200</v>
      </c>
      <c r="F85" s="34">
        <f t="shared" si="29"/>
        <v>10219200</v>
      </c>
      <c r="G85" s="34">
        <f t="shared" si="29"/>
        <v>10219200</v>
      </c>
      <c r="H85" s="34">
        <f t="shared" si="29"/>
        <v>10219200</v>
      </c>
      <c r="I85" s="34">
        <f t="shared" si="29"/>
        <v>10219200</v>
      </c>
      <c r="J85" s="34">
        <f t="shared" si="29"/>
        <v>10219200</v>
      </c>
      <c r="K85" s="34">
        <f t="shared" si="29"/>
        <v>10219200</v>
      </c>
    </row>
    <row r="86" spans="1:13" x14ac:dyDescent="0.25">
      <c r="A86" s="35" t="s">
        <v>77</v>
      </c>
      <c r="B86" s="1">
        <f>IF(B85&lt;$B$14,1,IF(B85&gt;$C$16,2,0))</f>
        <v>1</v>
      </c>
      <c r="C86" s="1">
        <f t="shared" ref="C86:K86" si="30">IF(C85&lt;$B$14,1,IF(C85&gt;$C$16,2,0))</f>
        <v>1</v>
      </c>
      <c r="D86" s="1">
        <f t="shared" si="30"/>
        <v>2</v>
      </c>
      <c r="E86" s="1">
        <f t="shared" si="30"/>
        <v>2</v>
      </c>
      <c r="F86" s="1">
        <f t="shared" si="30"/>
        <v>2</v>
      </c>
      <c r="G86" s="1">
        <f t="shared" si="30"/>
        <v>2</v>
      </c>
      <c r="H86" s="1">
        <f t="shared" si="30"/>
        <v>2</v>
      </c>
      <c r="I86" s="1">
        <f t="shared" si="30"/>
        <v>2</v>
      </c>
      <c r="J86" s="1">
        <f t="shared" si="30"/>
        <v>2</v>
      </c>
      <c r="K86" s="1">
        <f t="shared" si="30"/>
        <v>2</v>
      </c>
    </row>
    <row r="87" spans="1:13" x14ac:dyDescent="0.25">
      <c r="A87" s="51"/>
      <c r="B87" s="36"/>
      <c r="C87" s="36"/>
      <c r="D87" s="36"/>
      <c r="E87" s="36"/>
      <c r="F87" s="36"/>
      <c r="G87" s="36"/>
      <c r="H87" s="36"/>
      <c r="I87" s="36"/>
      <c r="J87" s="36"/>
      <c r="K87" s="36"/>
    </row>
    <row r="88" spans="1:13" x14ac:dyDescent="0.25">
      <c r="A88" s="51" t="s">
        <v>95</v>
      </c>
      <c r="B88" s="52">
        <v>14455000</v>
      </c>
      <c r="C88" s="36">
        <v>7401000</v>
      </c>
      <c r="D88" s="36">
        <v>0</v>
      </c>
      <c r="E88" s="3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</row>
    <row r="89" spans="1:13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</row>
    <row r="90" spans="1:13" x14ac:dyDescent="0.25">
      <c r="A90" s="37" t="s">
        <v>78</v>
      </c>
    </row>
    <row r="91" spans="1:13" x14ac:dyDescent="0.25">
      <c r="A91" s="38" t="s">
        <v>81</v>
      </c>
      <c r="B91" s="39">
        <f>IF(B86=1,B88+B85,B85)</f>
        <v>2381000</v>
      </c>
      <c r="C91" s="39">
        <f t="shared" ref="C91:K91" si="31">IF(C86=1,C88+C85,C85)</f>
        <v>2001000</v>
      </c>
      <c r="D91" s="39">
        <f t="shared" si="31"/>
        <v>4363200</v>
      </c>
      <c r="E91" s="39">
        <f t="shared" si="31"/>
        <v>4363200</v>
      </c>
      <c r="F91" s="39">
        <f t="shared" si="31"/>
        <v>10219200</v>
      </c>
      <c r="G91" s="39">
        <f t="shared" si="31"/>
        <v>10219200</v>
      </c>
      <c r="H91" s="39">
        <f t="shared" si="31"/>
        <v>10219200</v>
      </c>
      <c r="I91" s="39">
        <f t="shared" si="31"/>
        <v>10219200</v>
      </c>
      <c r="J91" s="39">
        <f t="shared" si="31"/>
        <v>10219200</v>
      </c>
      <c r="K91" s="39">
        <f t="shared" si="31"/>
        <v>10219200</v>
      </c>
    </row>
    <row r="92" spans="1:13" x14ac:dyDescent="0.25">
      <c r="A92" s="1" t="s">
        <v>40</v>
      </c>
      <c r="B92" s="40">
        <f>B91</f>
        <v>2381000</v>
      </c>
      <c r="C92" s="40">
        <f t="shared" ref="C92:K92" si="32">C91</f>
        <v>2001000</v>
      </c>
      <c r="D92" s="40">
        <f t="shared" si="32"/>
        <v>4363200</v>
      </c>
      <c r="E92" s="40">
        <f t="shared" si="32"/>
        <v>4363200</v>
      </c>
      <c r="F92" s="40">
        <f t="shared" si="32"/>
        <v>10219200</v>
      </c>
      <c r="G92" s="40">
        <f t="shared" si="32"/>
        <v>10219200</v>
      </c>
      <c r="H92" s="40">
        <f t="shared" si="32"/>
        <v>10219200</v>
      </c>
      <c r="I92" s="40">
        <f t="shared" si="32"/>
        <v>10219200</v>
      </c>
      <c r="J92" s="40">
        <f t="shared" si="32"/>
        <v>10219200</v>
      </c>
      <c r="K92" s="40">
        <f t="shared" si="32"/>
        <v>10219200</v>
      </c>
    </row>
    <row r="93" spans="1:13" x14ac:dyDescent="0.25">
      <c r="A93" s="1" t="s">
        <v>82</v>
      </c>
      <c r="B93" s="40">
        <f>B91</f>
        <v>2381000</v>
      </c>
      <c r="C93" s="40">
        <f t="shared" ref="C93:K93" si="33">C91</f>
        <v>2001000</v>
      </c>
      <c r="D93" s="40">
        <f t="shared" si="33"/>
        <v>4363200</v>
      </c>
      <c r="E93" s="40">
        <f t="shared" si="33"/>
        <v>4363200</v>
      </c>
      <c r="F93" s="40">
        <f t="shared" si="33"/>
        <v>10219200</v>
      </c>
      <c r="G93" s="40">
        <f t="shared" si="33"/>
        <v>10219200</v>
      </c>
      <c r="H93" s="40">
        <f t="shared" si="33"/>
        <v>10219200</v>
      </c>
      <c r="I93" s="40">
        <f t="shared" si="33"/>
        <v>10219200</v>
      </c>
      <c r="J93" s="40">
        <f t="shared" si="33"/>
        <v>10219200</v>
      </c>
      <c r="K93" s="40">
        <f t="shared" si="33"/>
        <v>10219200</v>
      </c>
    </row>
    <row r="94" spans="1:13" x14ac:dyDescent="0.25">
      <c r="A94" s="41" t="s">
        <v>79</v>
      </c>
      <c r="B94" s="34">
        <f>B93</f>
        <v>2381000</v>
      </c>
      <c r="C94" s="34">
        <f t="shared" ref="C94:K94" si="34">C93</f>
        <v>2001000</v>
      </c>
      <c r="D94" s="34">
        <f t="shared" si="34"/>
        <v>4363200</v>
      </c>
      <c r="E94" s="34">
        <f t="shared" si="34"/>
        <v>4363200</v>
      </c>
      <c r="F94" s="34">
        <f t="shared" si="34"/>
        <v>10219200</v>
      </c>
      <c r="G94" s="34">
        <f t="shared" si="34"/>
        <v>10219200</v>
      </c>
      <c r="H94" s="34">
        <f t="shared" si="34"/>
        <v>10219200</v>
      </c>
      <c r="I94" s="34">
        <f t="shared" si="34"/>
        <v>10219200</v>
      </c>
      <c r="J94" s="34">
        <f t="shared" si="34"/>
        <v>10219200</v>
      </c>
      <c r="K94" s="34">
        <f t="shared" si="34"/>
        <v>10219200</v>
      </c>
    </row>
    <row r="96" spans="1:13" x14ac:dyDescent="0.25">
      <c r="A96" s="37" t="s">
        <v>80</v>
      </c>
    </row>
    <row r="97" spans="1:11" x14ac:dyDescent="0.25">
      <c r="A97" s="42" t="s">
        <v>83</v>
      </c>
      <c r="B97" s="22">
        <f>IF(B86=2,B85,0)</f>
        <v>0</v>
      </c>
      <c r="C97" s="22">
        <f t="shared" ref="C97:K97" si="35">IF(C86=2,C85,0)</f>
        <v>0</v>
      </c>
      <c r="D97" s="22">
        <f t="shared" si="35"/>
        <v>4363200</v>
      </c>
      <c r="E97" s="22">
        <f t="shared" si="35"/>
        <v>4363200</v>
      </c>
      <c r="F97" s="22">
        <f t="shared" si="35"/>
        <v>10219200</v>
      </c>
      <c r="G97" s="22">
        <f t="shared" si="35"/>
        <v>10219200</v>
      </c>
      <c r="H97" s="22">
        <f t="shared" si="35"/>
        <v>10219200</v>
      </c>
      <c r="I97" s="22">
        <f t="shared" si="35"/>
        <v>10219200</v>
      </c>
      <c r="J97" s="22">
        <f t="shared" si="35"/>
        <v>10219200</v>
      </c>
      <c r="K97" s="22">
        <f t="shared" si="35"/>
        <v>10219200</v>
      </c>
    </row>
    <row r="98" spans="1:11" x14ac:dyDescent="0.25">
      <c r="A98" s="41" t="s">
        <v>79</v>
      </c>
      <c r="B98" s="34">
        <f>B97</f>
        <v>0</v>
      </c>
      <c r="C98" s="34">
        <f t="shared" ref="C98:K98" si="36">C97</f>
        <v>0</v>
      </c>
      <c r="D98" s="34">
        <f t="shared" si="36"/>
        <v>4363200</v>
      </c>
      <c r="E98" s="34">
        <f t="shared" si="36"/>
        <v>4363200</v>
      </c>
      <c r="F98" s="34">
        <f t="shared" si="36"/>
        <v>10219200</v>
      </c>
      <c r="G98" s="34">
        <f t="shared" si="36"/>
        <v>10219200</v>
      </c>
      <c r="H98" s="34">
        <f t="shared" si="36"/>
        <v>10219200</v>
      </c>
      <c r="I98" s="34">
        <f t="shared" si="36"/>
        <v>10219200</v>
      </c>
      <c r="J98" s="34">
        <f t="shared" si="36"/>
        <v>10219200</v>
      </c>
      <c r="K98" s="34">
        <f t="shared" si="36"/>
        <v>10219200</v>
      </c>
    </row>
  </sheetData>
  <mergeCells count="17">
    <mergeCell ref="I12:K12"/>
    <mergeCell ref="A55:K55"/>
    <mergeCell ref="A62:K62"/>
    <mergeCell ref="A76:K76"/>
    <mergeCell ref="M49:N54"/>
    <mergeCell ref="I1:J1"/>
    <mergeCell ref="I4:K4"/>
    <mergeCell ref="I5:K5"/>
    <mergeCell ref="I3:K3"/>
    <mergeCell ref="A49:K49"/>
    <mergeCell ref="I14:K14"/>
    <mergeCell ref="I16:K16"/>
    <mergeCell ref="I18:K18"/>
    <mergeCell ref="I7:K7"/>
    <mergeCell ref="I8:K8"/>
    <mergeCell ref="I10:K10"/>
    <mergeCell ref="I11:K11"/>
  </mergeCells>
  <conditionalFormatting sqref="B97:K97">
    <cfRule type="cellIs" dxfId="1" priority="2" operator="greaterThan">
      <formula>$C$39</formula>
    </cfRule>
    <cfRule type="cellIs" dxfId="0" priority="3" operator="greaterThan">
      <formula>$C$39</formula>
    </cfRule>
  </conditionalFormatting>
  <hyperlinks>
    <hyperlink ref="A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>
      <selection activeCell="A4" sqref="A4:D6"/>
    </sheetView>
  </sheetViews>
  <sheetFormatPr baseColWidth="10" defaultRowHeight="15" x14ac:dyDescent="0.25"/>
  <cols>
    <col min="1" max="16384" width="11.42578125" style="57"/>
  </cols>
  <sheetData>
    <row r="1" spans="1:8" x14ac:dyDescent="0.25">
      <c r="A1" s="83" t="s">
        <v>117</v>
      </c>
      <c r="B1" s="84"/>
      <c r="C1" s="84"/>
      <c r="D1" s="84"/>
      <c r="E1" s="55"/>
      <c r="F1" s="56" t="s">
        <v>118</v>
      </c>
    </row>
    <row r="3" spans="1:8" x14ac:dyDescent="0.25">
      <c r="A3" s="58" t="s">
        <v>119</v>
      </c>
    </row>
    <row r="4" spans="1:8" x14ac:dyDescent="0.25">
      <c r="A4" s="85" t="s">
        <v>120</v>
      </c>
      <c r="B4" s="86"/>
      <c r="C4" s="86"/>
      <c r="D4" s="87"/>
      <c r="F4" s="59"/>
      <c r="H4" s="60" t="s">
        <v>138</v>
      </c>
    </row>
    <row r="5" spans="1:8" x14ac:dyDescent="0.25">
      <c r="A5" s="88"/>
      <c r="B5" s="89"/>
      <c r="C5" s="89"/>
      <c r="D5" s="90"/>
      <c r="E5" s="57">
        <v>10</v>
      </c>
      <c r="F5" s="61">
        <v>5</v>
      </c>
      <c r="H5" s="60" t="s">
        <v>137</v>
      </c>
    </row>
    <row r="6" spans="1:8" x14ac:dyDescent="0.25">
      <c r="A6" s="91"/>
      <c r="B6" s="92"/>
      <c r="C6" s="92"/>
      <c r="D6" s="93"/>
      <c r="F6" s="62"/>
      <c r="H6" s="60" t="s">
        <v>135</v>
      </c>
    </row>
    <row r="7" spans="1:8" x14ac:dyDescent="0.25">
      <c r="A7" s="55"/>
      <c r="B7" s="55"/>
      <c r="C7" s="55"/>
      <c r="D7" s="55"/>
      <c r="F7" s="63"/>
      <c r="H7" s="60"/>
    </row>
    <row r="8" spans="1:8" x14ac:dyDescent="0.25">
      <c r="A8" s="58" t="s">
        <v>121</v>
      </c>
      <c r="F8" s="63"/>
    </row>
    <row r="9" spans="1:8" x14ac:dyDescent="0.25">
      <c r="A9" s="85" t="s">
        <v>122</v>
      </c>
      <c r="B9" s="94"/>
      <c r="C9" s="94"/>
      <c r="D9" s="95"/>
      <c r="F9" s="59"/>
      <c r="H9" s="60"/>
    </row>
    <row r="10" spans="1:8" x14ac:dyDescent="0.25">
      <c r="A10" s="96"/>
      <c r="B10" s="97"/>
      <c r="C10" s="97"/>
      <c r="D10" s="98"/>
      <c r="E10" s="57">
        <v>5</v>
      </c>
      <c r="F10" s="61">
        <v>0</v>
      </c>
      <c r="H10" s="64" t="s">
        <v>136</v>
      </c>
    </row>
    <row r="11" spans="1:8" x14ac:dyDescent="0.25">
      <c r="A11" s="99"/>
      <c r="B11" s="100"/>
      <c r="C11" s="100"/>
      <c r="D11" s="101"/>
      <c r="F11" s="62"/>
    </row>
    <row r="12" spans="1:8" x14ac:dyDescent="0.25">
      <c r="A12" s="55"/>
      <c r="B12" s="55"/>
      <c r="C12" s="55"/>
      <c r="D12" s="55"/>
      <c r="F12" s="63"/>
    </row>
    <row r="13" spans="1:8" x14ac:dyDescent="0.25">
      <c r="A13" s="58" t="s">
        <v>123</v>
      </c>
      <c r="F13" s="63"/>
    </row>
    <row r="14" spans="1:8" x14ac:dyDescent="0.25">
      <c r="A14" s="65"/>
      <c r="B14" s="66"/>
      <c r="C14" s="66"/>
      <c r="D14" s="67"/>
      <c r="F14" s="59"/>
    </row>
    <row r="15" spans="1:8" x14ac:dyDescent="0.25">
      <c r="A15" s="68"/>
      <c r="B15" s="55" t="s">
        <v>124</v>
      </c>
      <c r="C15" s="55"/>
      <c r="D15" s="69"/>
      <c r="E15" s="57">
        <v>2</v>
      </c>
      <c r="F15" s="61">
        <v>0</v>
      </c>
      <c r="H15" s="60" t="s">
        <v>134</v>
      </c>
    </row>
    <row r="16" spans="1:8" x14ac:dyDescent="0.25">
      <c r="A16" s="70"/>
      <c r="B16" s="71"/>
      <c r="C16" s="71"/>
      <c r="D16" s="72"/>
      <c r="F16" s="62"/>
    </row>
    <row r="17" spans="1:6" x14ac:dyDescent="0.25">
      <c r="F17" s="63"/>
    </row>
    <row r="18" spans="1:6" x14ac:dyDescent="0.25">
      <c r="A18" s="58" t="s">
        <v>125</v>
      </c>
      <c r="F18" s="63"/>
    </row>
    <row r="19" spans="1:6" x14ac:dyDescent="0.25">
      <c r="A19" s="65"/>
      <c r="B19" s="66" t="s">
        <v>126</v>
      </c>
      <c r="C19" s="66"/>
      <c r="D19" s="67"/>
      <c r="F19" s="59"/>
    </row>
    <row r="20" spans="1:6" x14ac:dyDescent="0.25">
      <c r="A20" s="68"/>
      <c r="B20" s="55" t="s">
        <v>127</v>
      </c>
      <c r="C20" s="55"/>
      <c r="D20" s="69"/>
      <c r="E20" s="57">
        <v>3</v>
      </c>
      <c r="F20" s="61">
        <v>1</v>
      </c>
    </row>
    <row r="21" spans="1:6" x14ac:dyDescent="0.25">
      <c r="A21" s="70"/>
      <c r="B21" s="71" t="s">
        <v>128</v>
      </c>
      <c r="C21" s="71"/>
      <c r="D21" s="72"/>
      <c r="F21" s="62"/>
    </row>
    <row r="22" spans="1:6" x14ac:dyDescent="0.25">
      <c r="F22" s="63"/>
    </row>
    <row r="23" spans="1:6" x14ac:dyDescent="0.25">
      <c r="A23" s="58" t="s">
        <v>129</v>
      </c>
      <c r="F23" s="63"/>
    </row>
    <row r="24" spans="1:6" x14ac:dyDescent="0.25">
      <c r="A24" s="73" t="s">
        <v>130</v>
      </c>
      <c r="B24" s="66" t="s">
        <v>131</v>
      </c>
      <c r="C24" s="66"/>
      <c r="D24" s="67"/>
      <c r="E24" s="57">
        <v>-1</v>
      </c>
      <c r="F24" s="59"/>
    </row>
    <row r="25" spans="1:6" x14ac:dyDescent="0.25">
      <c r="A25" s="74" t="s">
        <v>130</v>
      </c>
      <c r="B25" s="55" t="s">
        <v>132</v>
      </c>
      <c r="C25" s="55"/>
      <c r="D25" s="69"/>
      <c r="E25" s="57">
        <v>-1</v>
      </c>
      <c r="F25" s="75"/>
    </row>
    <row r="26" spans="1:6" x14ac:dyDescent="0.25">
      <c r="A26" s="74"/>
      <c r="B26" s="55"/>
      <c r="C26" s="55"/>
      <c r="D26" s="69"/>
      <c r="F26" s="61"/>
    </row>
    <row r="27" spans="1:6" x14ac:dyDescent="0.25">
      <c r="A27" s="76" t="s">
        <v>130</v>
      </c>
      <c r="B27" s="71" t="s">
        <v>133</v>
      </c>
      <c r="C27" s="71"/>
      <c r="D27" s="72"/>
      <c r="E27" s="57">
        <v>-1</v>
      </c>
      <c r="F27" s="77"/>
    </row>
    <row r="29" spans="1:6" x14ac:dyDescent="0.25">
      <c r="F29" s="57">
        <f>SUM(F4:F27)</f>
        <v>6</v>
      </c>
    </row>
  </sheetData>
  <mergeCells count="3">
    <mergeCell ref="A1:D1"/>
    <mergeCell ref="A4:D6"/>
    <mergeCell ref="A9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Comentario</vt:lpstr>
    </vt:vector>
  </TitlesOfParts>
  <Company>PUCP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ladmin</dc:creator>
  <cp:lastModifiedBy>Usuario</cp:lastModifiedBy>
  <dcterms:created xsi:type="dcterms:W3CDTF">2018-11-03T19:07:15Z</dcterms:created>
  <dcterms:modified xsi:type="dcterms:W3CDTF">2018-11-23T22:23:28Z</dcterms:modified>
</cp:coreProperties>
</file>