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0" yWindow="0" windowWidth="2280" windowHeight="1065"/>
  </bookViews>
  <sheets>
    <sheet name="A(I)" sheetId="4" r:id="rId1"/>
    <sheet name="A(O)" sheetId="5" r:id="rId2"/>
    <sheet name="D(I)" sheetId="6" r:id="rId3"/>
    <sheet name="D(O)" sheetId="9" r:id="rId4"/>
    <sheet name="ai" sheetId="10" r:id="rId5"/>
    <sheet name="Init_AI" sheetId="12" r:id="rId6"/>
  </sheets>
  <externalReferences>
    <externalReference r:id="rId7"/>
  </externalReferences>
  <definedNames>
    <definedName name="n7_33">#REF!</definedName>
    <definedName name="_xlnm.Print_Titles" localSheetId="0">'A(I)'!$2:$3</definedName>
    <definedName name="_xlnm.Print_Area" localSheetId="0">'A(I)'!$A$1:$R$331</definedName>
    <definedName name="_xlnm.Print_Area" localSheetId="1">'A(O)'!$A$1:$J$19</definedName>
    <definedName name="_xlnm.Print_Area" localSheetId="2">'D(I)'!$A$1:$K$34</definedName>
    <definedName name="_xlnm.Print_Area" localSheetId="3">'D(O)'!$A$1:$K$66</definedName>
  </definedNames>
  <calcPr calcId="125725"/>
</workbook>
</file>

<file path=xl/calcChain.xml><?xml version="1.0" encoding="utf-8"?>
<calcChain xmlns="http://schemas.openxmlformats.org/spreadsheetml/2006/main">
  <c r="L22" i="9"/>
  <c r="L54"/>
  <c r="L53"/>
  <c r="L52"/>
  <c r="L51"/>
  <c r="L50"/>
  <c r="L49"/>
  <c r="L48"/>
  <c r="L47"/>
  <c r="L46"/>
  <c r="L45"/>
  <c r="L44"/>
  <c r="L43"/>
  <c r="L42"/>
  <c r="L41"/>
  <c r="L40"/>
  <c r="L39"/>
  <c r="L38"/>
  <c r="L37"/>
  <c r="L36"/>
  <c r="L35"/>
  <c r="L21"/>
  <c r="L20"/>
  <c r="L19"/>
  <c r="L18"/>
  <c r="L17"/>
  <c r="L16"/>
  <c r="L15"/>
  <c r="L14"/>
  <c r="L13"/>
  <c r="L12"/>
  <c r="L11"/>
  <c r="L10"/>
  <c r="L9"/>
  <c r="L8"/>
  <c r="L7"/>
  <c r="L6"/>
  <c r="L5"/>
  <c r="L4"/>
  <c r="L3"/>
  <c r="L12" i="6"/>
  <c r="L11"/>
  <c r="L10"/>
  <c r="L9"/>
  <c r="L8"/>
  <c r="L7"/>
  <c r="L6"/>
  <c r="L5"/>
  <c r="L4"/>
  <c r="L3"/>
  <c r="K19" i="5"/>
  <c r="K18"/>
  <c r="K17"/>
  <c r="K16"/>
  <c r="K15"/>
  <c r="K14"/>
  <c r="K13"/>
  <c r="K12"/>
  <c r="K11"/>
  <c r="K10"/>
  <c r="K9"/>
  <c r="K8"/>
  <c r="K7"/>
  <c r="K6"/>
  <c r="K5"/>
  <c r="K4"/>
  <c r="T215" i="4"/>
  <c r="T214"/>
  <c r="T213"/>
  <c r="T212"/>
  <c r="T211"/>
  <c r="T210"/>
  <c r="T209"/>
  <c r="T208"/>
  <c r="T207"/>
  <c r="T206"/>
  <c r="T205"/>
  <c r="T204"/>
  <c r="T200"/>
  <c r="T199"/>
  <c r="T198"/>
  <c r="T197"/>
  <c r="T196"/>
  <c r="T195"/>
  <c r="T194"/>
  <c r="T193"/>
  <c r="T192"/>
  <c r="T191"/>
  <c r="T190"/>
  <c r="T189"/>
  <c r="T188"/>
  <c r="T185"/>
  <c r="T184"/>
  <c r="T183"/>
  <c r="T182"/>
  <c r="T175"/>
  <c r="T174"/>
  <c r="T173"/>
  <c r="T172"/>
  <c r="T171"/>
  <c r="T170"/>
  <c r="T169"/>
  <c r="T168"/>
  <c r="T167"/>
  <c r="T166"/>
  <c r="T161"/>
  <c r="T160"/>
  <c r="T159"/>
  <c r="T158"/>
  <c r="T157"/>
  <c r="T156"/>
  <c r="T155"/>
  <c r="T154"/>
  <c r="T153"/>
  <c r="T152"/>
  <c r="T151"/>
  <c r="T150"/>
  <c r="T146"/>
  <c r="T145"/>
  <c r="T144"/>
  <c r="T143"/>
  <c r="T142"/>
  <c r="T141"/>
  <c r="T140"/>
  <c r="T139"/>
  <c r="T138"/>
  <c r="T137"/>
  <c r="T136"/>
  <c r="T135"/>
  <c r="T134"/>
  <c r="T131"/>
  <c r="T130"/>
  <c r="T129"/>
  <c r="T128"/>
  <c r="T121"/>
  <c r="T120"/>
  <c r="T119"/>
  <c r="T118"/>
  <c r="T117"/>
  <c r="T116"/>
  <c r="T115"/>
  <c r="T114"/>
  <c r="T113"/>
  <c r="T112"/>
  <c r="T111"/>
  <c r="T110"/>
  <c r="T109"/>
  <c r="T108"/>
  <c r="T107"/>
  <c r="T106"/>
  <c r="T105"/>
  <c r="T104"/>
  <c r="T103"/>
  <c r="T102"/>
  <c r="T101"/>
  <c r="T100"/>
  <c r="T99"/>
  <c r="T98"/>
  <c r="T97"/>
  <c r="T96"/>
  <c r="T92"/>
  <c r="T91"/>
  <c r="T90"/>
  <c r="T89"/>
  <c r="T88"/>
  <c r="T87"/>
  <c r="T86"/>
  <c r="T85"/>
  <c r="T84"/>
  <c r="T83"/>
  <c r="T82"/>
  <c r="T81"/>
  <c r="T80"/>
  <c r="T77"/>
  <c r="T76"/>
  <c r="T75"/>
  <c r="T74"/>
  <c r="T67"/>
  <c r="T66"/>
  <c r="T65"/>
  <c r="T64"/>
  <c r="T63"/>
  <c r="T62"/>
  <c r="T61"/>
  <c r="T60"/>
  <c r="T59"/>
  <c r="T58"/>
  <c r="T57"/>
  <c r="T56"/>
  <c r="T55"/>
  <c r="T54"/>
  <c r="T53"/>
  <c r="T52"/>
  <c r="T51"/>
  <c r="T50"/>
  <c r="T49"/>
  <c r="T48"/>
  <c r="T47"/>
  <c r="T46"/>
  <c r="T45"/>
  <c r="T44"/>
  <c r="T43"/>
  <c r="T42"/>
  <c r="T38"/>
  <c r="T37"/>
  <c r="T36"/>
  <c r="T35"/>
  <c r="T34"/>
  <c r="T33"/>
  <c r="T32"/>
  <c r="T31"/>
  <c r="T30"/>
  <c r="T29"/>
  <c r="T28"/>
  <c r="T27"/>
  <c r="T26"/>
  <c r="T23"/>
  <c r="T22"/>
  <c r="T21"/>
  <c r="T13"/>
  <c r="T20"/>
  <c r="T12"/>
  <c r="T11"/>
  <c r="T10"/>
  <c r="T9"/>
  <c r="T8"/>
  <c r="T7"/>
  <c r="T6"/>
  <c r="T5"/>
  <c r="T4"/>
  <c r="A67" i="12"/>
  <c r="A66"/>
  <c r="A65"/>
  <c r="A64"/>
  <c r="A63"/>
  <c r="C62"/>
  <c r="A62"/>
  <c r="A61"/>
  <c r="A60"/>
  <c r="E60" s="1"/>
  <c r="A59"/>
  <c r="A58"/>
  <c r="A57"/>
  <c r="A56"/>
  <c r="A55"/>
  <c r="A54"/>
  <c r="A53"/>
  <c r="A52"/>
  <c r="E52" s="1"/>
  <c r="A51"/>
  <c r="A50"/>
  <c r="A49"/>
  <c r="A48"/>
  <c r="A47"/>
  <c r="A46"/>
  <c r="A45"/>
  <c r="A44"/>
  <c r="A43"/>
  <c r="A42"/>
  <c r="C42" s="1"/>
  <c r="A41"/>
  <c r="A40"/>
  <c r="A39"/>
  <c r="A38"/>
  <c r="A37"/>
  <c r="A36"/>
  <c r="A35"/>
  <c r="A34"/>
  <c r="C34" s="1"/>
  <c r="A33"/>
  <c r="A32"/>
  <c r="A31"/>
  <c r="A30"/>
  <c r="A29"/>
  <c r="A28"/>
  <c r="A27"/>
  <c r="A26"/>
  <c r="C26" s="1"/>
  <c r="A25"/>
  <c r="A24"/>
  <c r="A23"/>
  <c r="A22"/>
  <c r="A21"/>
  <c r="A20"/>
  <c r="A19"/>
  <c r="A18"/>
  <c r="C18" s="1"/>
  <c r="A17"/>
  <c r="A16"/>
  <c r="A15"/>
  <c r="A14"/>
  <c r="A13"/>
  <c r="A12"/>
  <c r="A11"/>
  <c r="A10"/>
  <c r="C10" s="1"/>
  <c r="A9"/>
  <c r="A8"/>
  <c r="A7"/>
  <c r="A6"/>
  <c r="A5"/>
  <c r="A4"/>
  <c r="BM213" i="10"/>
  <c r="BM212"/>
  <c r="BM211"/>
  <c r="BM210"/>
  <c r="BM209"/>
  <c r="BM208"/>
  <c r="BM207"/>
  <c r="BM206"/>
  <c r="BM205"/>
  <c r="BM204"/>
  <c r="BM203"/>
  <c r="BM202"/>
  <c r="BM201"/>
  <c r="BM200"/>
  <c r="BM199"/>
  <c r="BM198"/>
  <c r="BM197"/>
  <c r="BM196"/>
  <c r="BM195"/>
  <c r="BM194"/>
  <c r="BM193"/>
  <c r="BM192"/>
  <c r="BM191"/>
  <c r="BM190"/>
  <c r="BM189"/>
  <c r="BM188"/>
  <c r="BM187"/>
  <c r="BM186"/>
  <c r="BM185"/>
  <c r="BM184"/>
  <c r="BM183"/>
  <c r="BM182"/>
  <c r="BM181"/>
  <c r="BM180"/>
  <c r="BM179"/>
  <c r="BM178"/>
  <c r="BM177"/>
  <c r="BM176"/>
  <c r="BM175"/>
  <c r="BM174"/>
  <c r="BM173"/>
  <c r="BM172"/>
  <c r="BM171"/>
  <c r="BM170"/>
  <c r="BM169"/>
  <c r="BM168"/>
  <c r="BM167"/>
  <c r="BM166"/>
  <c r="BM165"/>
  <c r="BM164"/>
  <c r="BM163"/>
  <c r="BM162"/>
  <c r="BM161"/>
  <c r="BM160"/>
  <c r="BM159"/>
  <c r="BM158"/>
  <c r="BM157"/>
  <c r="BM156"/>
  <c r="BM155"/>
  <c r="BM154"/>
  <c r="BM153"/>
  <c r="BM152"/>
  <c r="BM151"/>
  <c r="BM150"/>
  <c r="BM149"/>
  <c r="BM148"/>
  <c r="BM147"/>
  <c r="BM146"/>
  <c r="BM145"/>
  <c r="BM144"/>
  <c r="BM143"/>
  <c r="BM142"/>
  <c r="BM141"/>
  <c r="BM140"/>
  <c r="BM139"/>
  <c r="BM138"/>
  <c r="BM137"/>
  <c r="BM136"/>
  <c r="BM135"/>
  <c r="BM134"/>
  <c r="BM133"/>
  <c r="BM132"/>
  <c r="BM131"/>
  <c r="BM130"/>
  <c r="BM129"/>
  <c r="BM128"/>
  <c r="BM127"/>
  <c r="BM126"/>
  <c r="BM125"/>
  <c r="BM124"/>
  <c r="BM123"/>
  <c r="BM122"/>
  <c r="BM121"/>
  <c r="BM120"/>
  <c r="BM119"/>
  <c r="BM118"/>
  <c r="BM117"/>
  <c r="BM116"/>
  <c r="BM115"/>
  <c r="BM114"/>
  <c r="BM113"/>
  <c r="BM112"/>
  <c r="BM111"/>
  <c r="BM110"/>
  <c r="BM109"/>
  <c r="BM108"/>
  <c r="BM107"/>
  <c r="BM106"/>
  <c r="BM105"/>
  <c r="BM104"/>
  <c r="BM103"/>
  <c r="BM102"/>
  <c r="BM101"/>
  <c r="BM100"/>
  <c r="BM99"/>
  <c r="BM98"/>
  <c r="BM97"/>
  <c r="BM96"/>
  <c r="BM95"/>
  <c r="BM94"/>
  <c r="BM93"/>
  <c r="BM92"/>
  <c r="BM91"/>
  <c r="BM90"/>
  <c r="BM89"/>
  <c r="BM88"/>
  <c r="BM87"/>
  <c r="BM86"/>
  <c r="BM85"/>
  <c r="BM84"/>
  <c r="BM83"/>
  <c r="BM82"/>
  <c r="BM81"/>
  <c r="BM80"/>
  <c r="BM79"/>
  <c r="BM78"/>
  <c r="BM77"/>
  <c r="BM76"/>
  <c r="BM75"/>
  <c r="BM74"/>
  <c r="BM73"/>
  <c r="BM72"/>
  <c r="BM71"/>
  <c r="BM70"/>
  <c r="BM69"/>
  <c r="BM68"/>
  <c r="BM67"/>
  <c r="BM66"/>
  <c r="BM65"/>
  <c r="BM64"/>
  <c r="BM63"/>
  <c r="BM62"/>
  <c r="BM61"/>
  <c r="BM60"/>
  <c r="BM59"/>
  <c r="BM58"/>
  <c r="BM57"/>
  <c r="BM56"/>
  <c r="BM55"/>
  <c r="BM54"/>
  <c r="BM53"/>
  <c r="BM52"/>
  <c r="BM51"/>
  <c r="BM50"/>
  <c r="BM49"/>
  <c r="BM48"/>
  <c r="BM47"/>
  <c r="BM46"/>
  <c r="BM45"/>
  <c r="BM44"/>
  <c r="BM43"/>
  <c r="BM42"/>
  <c r="BM41"/>
  <c r="BM40"/>
  <c r="BM39"/>
  <c r="BM38"/>
  <c r="BM37"/>
  <c r="BM36"/>
  <c r="BM35"/>
  <c r="BM34"/>
  <c r="BM33"/>
  <c r="BM32"/>
  <c r="BM31"/>
  <c r="BM30"/>
  <c r="BM29"/>
  <c r="BM28"/>
  <c r="BM27"/>
  <c r="BM26"/>
  <c r="BM25"/>
  <c r="BM24"/>
  <c r="BM23"/>
  <c r="BM22"/>
  <c r="BM21"/>
  <c r="BM20"/>
  <c r="BM19"/>
  <c r="BM18"/>
  <c r="BM17"/>
  <c r="BM16"/>
  <c r="BM15"/>
  <c r="BM14"/>
  <c r="BM13"/>
  <c r="BM12"/>
  <c r="BM11"/>
  <c r="BM10"/>
  <c r="BM9"/>
  <c r="BM8"/>
  <c r="BM7"/>
  <c r="BM6"/>
  <c r="BM5"/>
  <c r="BM4"/>
  <c r="T213"/>
  <c r="T212"/>
  <c r="T211"/>
  <c r="T210"/>
  <c r="T209"/>
  <c r="T208"/>
  <c r="T207"/>
  <c r="T206"/>
  <c r="T205"/>
  <c r="T204"/>
  <c r="T203"/>
  <c r="T202"/>
  <c r="T201"/>
  <c r="T200"/>
  <c r="T199"/>
  <c r="T198"/>
  <c r="T197"/>
  <c r="T196"/>
  <c r="T195"/>
  <c r="T194"/>
  <c r="T193"/>
  <c r="T192"/>
  <c r="T191"/>
  <c r="T190"/>
  <c r="T189"/>
  <c r="T188"/>
  <c r="T187"/>
  <c r="T186"/>
  <c r="T185"/>
  <c r="T184"/>
  <c r="T183"/>
  <c r="T182"/>
  <c r="T181"/>
  <c r="T180"/>
  <c r="T179"/>
  <c r="T178"/>
  <c r="T177"/>
  <c r="T176"/>
  <c r="T175"/>
  <c r="T174"/>
  <c r="T173"/>
  <c r="T172"/>
  <c r="T171"/>
  <c r="T170"/>
  <c r="T169"/>
  <c r="T168"/>
  <c r="T167"/>
  <c r="T166"/>
  <c r="T165"/>
  <c r="T164"/>
  <c r="T163"/>
  <c r="T162"/>
  <c r="T161"/>
  <c r="T160"/>
  <c r="T159"/>
  <c r="T158"/>
  <c r="T157"/>
  <c r="T156"/>
  <c r="T155"/>
  <c r="T154"/>
  <c r="T153"/>
  <c r="T152"/>
  <c r="T151"/>
  <c r="T150"/>
  <c r="T149"/>
  <c r="T148"/>
  <c r="T147"/>
  <c r="T146"/>
  <c r="T145"/>
  <c r="T144"/>
  <c r="T143"/>
  <c r="T142"/>
  <c r="T141"/>
  <c r="T140"/>
  <c r="T139"/>
  <c r="T138"/>
  <c r="T137"/>
  <c r="T136"/>
  <c r="T135"/>
  <c r="T134"/>
  <c r="T133"/>
  <c r="T132"/>
  <c r="T131"/>
  <c r="T130"/>
  <c r="T129"/>
  <c r="T128"/>
  <c r="T127"/>
  <c r="T126"/>
  <c r="T125"/>
  <c r="T124"/>
  <c r="T123"/>
  <c r="T122"/>
  <c r="T121"/>
  <c r="T120"/>
  <c r="T119"/>
  <c r="T118"/>
  <c r="T117"/>
  <c r="T116"/>
  <c r="T115"/>
  <c r="T114"/>
  <c r="T113"/>
  <c r="T112"/>
  <c r="T111"/>
  <c r="T110"/>
  <c r="T109"/>
  <c r="T108"/>
  <c r="T107"/>
  <c r="T106"/>
  <c r="T105"/>
  <c r="T104"/>
  <c r="T103"/>
  <c r="T102"/>
  <c r="T101"/>
  <c r="T100"/>
  <c r="T99"/>
  <c r="T98"/>
  <c r="T97"/>
  <c r="T96"/>
  <c r="T95"/>
  <c r="T94"/>
  <c r="T93"/>
  <c r="T92"/>
  <c r="T91"/>
  <c r="T90"/>
  <c r="T89"/>
  <c r="T88"/>
  <c r="T87"/>
  <c r="T86"/>
  <c r="T85"/>
  <c r="T84"/>
  <c r="T83"/>
  <c r="T82"/>
  <c r="T81"/>
  <c r="T80"/>
  <c r="T79"/>
  <c r="T78"/>
  <c r="T77"/>
  <c r="T76"/>
  <c r="T75"/>
  <c r="T74"/>
  <c r="T73"/>
  <c r="T72"/>
  <c r="T71"/>
  <c r="T70"/>
  <c r="T69"/>
  <c r="T68"/>
  <c r="T67"/>
  <c r="T66"/>
  <c r="T65"/>
  <c r="T64"/>
  <c r="T63"/>
  <c r="T62"/>
  <c r="T61"/>
  <c r="T60"/>
  <c r="T59"/>
  <c r="T58"/>
  <c r="T57"/>
  <c r="T56"/>
  <c r="T55"/>
  <c r="T54"/>
  <c r="T53"/>
  <c r="T52"/>
  <c r="T51"/>
  <c r="T50"/>
  <c r="T49"/>
  <c r="T48"/>
  <c r="T47"/>
  <c r="T46"/>
  <c r="T45"/>
  <c r="T44"/>
  <c r="T43"/>
  <c r="T42"/>
  <c r="T41"/>
  <c r="T40"/>
  <c r="T39"/>
  <c r="T38"/>
  <c r="T37"/>
  <c r="T36"/>
  <c r="T35"/>
  <c r="T34"/>
  <c r="T33"/>
  <c r="T32"/>
  <c r="T31"/>
  <c r="T30"/>
  <c r="T29"/>
  <c r="T28"/>
  <c r="T27"/>
  <c r="T26"/>
  <c r="T25"/>
  <c r="T24"/>
  <c r="T23"/>
  <c r="T22"/>
  <c r="T21"/>
  <c r="T20"/>
  <c r="T19"/>
  <c r="T18"/>
  <c r="T17"/>
  <c r="T16"/>
  <c r="T15"/>
  <c r="T14"/>
  <c r="T13"/>
  <c r="T12"/>
  <c r="T11"/>
  <c r="T10"/>
  <c r="T9"/>
  <c r="T8"/>
  <c r="T7"/>
  <c r="T6"/>
  <c r="T5"/>
  <c r="T4"/>
  <c r="O213"/>
  <c r="O212"/>
  <c r="O211"/>
  <c r="O210"/>
  <c r="O209"/>
  <c r="O208"/>
  <c r="O207"/>
  <c r="O206"/>
  <c r="O205"/>
  <c r="O204"/>
  <c r="O203"/>
  <c r="O202"/>
  <c r="O201"/>
  <c r="O200"/>
  <c r="O199"/>
  <c r="O198"/>
  <c r="O197"/>
  <c r="O196"/>
  <c r="O195"/>
  <c r="O194"/>
  <c r="O193"/>
  <c r="O192"/>
  <c r="O191"/>
  <c r="O190"/>
  <c r="O189"/>
  <c r="O188"/>
  <c r="O187"/>
  <c r="O186"/>
  <c r="O185"/>
  <c r="O184"/>
  <c r="O183"/>
  <c r="O182"/>
  <c r="O181"/>
  <c r="O180"/>
  <c r="O179"/>
  <c r="O178"/>
  <c r="O177"/>
  <c r="O176"/>
  <c r="O175"/>
  <c r="O174"/>
  <c r="O173"/>
  <c r="O172"/>
  <c r="O171"/>
  <c r="O170"/>
  <c r="O169"/>
  <c r="O168"/>
  <c r="O167"/>
  <c r="O166"/>
  <c r="O165"/>
  <c r="O164"/>
  <c r="O163"/>
  <c r="O162"/>
  <c r="O161"/>
  <c r="O160"/>
  <c r="O159"/>
  <c r="O158"/>
  <c r="O157"/>
  <c r="O156"/>
  <c r="O155"/>
  <c r="O154"/>
  <c r="O153"/>
  <c r="O152"/>
  <c r="O151"/>
  <c r="O150"/>
  <c r="O149"/>
  <c r="O148"/>
  <c r="O147"/>
  <c r="O146"/>
  <c r="O145"/>
  <c r="O144"/>
  <c r="O143"/>
  <c r="O142"/>
  <c r="O141"/>
  <c r="O140"/>
  <c r="O139"/>
  <c r="O138"/>
  <c r="O137"/>
  <c r="O136"/>
  <c r="O135"/>
  <c r="O134"/>
  <c r="O133"/>
  <c r="O132"/>
  <c r="O131"/>
  <c r="O130"/>
  <c r="O129"/>
  <c r="O128"/>
  <c r="O127"/>
  <c r="O126"/>
  <c r="O125"/>
  <c r="O124"/>
  <c r="O123"/>
  <c r="O122"/>
  <c r="O121"/>
  <c r="O120"/>
  <c r="O119"/>
  <c r="O118"/>
  <c r="O117"/>
  <c r="O116"/>
  <c r="O115"/>
  <c r="O114"/>
  <c r="O113"/>
  <c r="O112"/>
  <c r="O111"/>
  <c r="O110"/>
  <c r="O109"/>
  <c r="O108"/>
  <c r="O107"/>
  <c r="O106"/>
  <c r="O105"/>
  <c r="O104"/>
  <c r="O103"/>
  <c r="O102"/>
  <c r="O101"/>
  <c r="O100"/>
  <c r="O99"/>
  <c r="O98"/>
  <c r="O97"/>
  <c r="O96"/>
  <c r="O95"/>
  <c r="O94"/>
  <c r="O93"/>
  <c r="O92"/>
  <c r="O91"/>
  <c r="O90"/>
  <c r="O89"/>
  <c r="O88"/>
  <c r="O87"/>
  <c r="O86"/>
  <c r="O85"/>
  <c r="O84"/>
  <c r="O83"/>
  <c r="O82"/>
  <c r="O81"/>
  <c r="O80"/>
  <c r="O79"/>
  <c r="O78"/>
  <c r="O77"/>
  <c r="O76"/>
  <c r="O75"/>
  <c r="O74"/>
  <c r="O73"/>
  <c r="O72"/>
  <c r="O71"/>
  <c r="O70"/>
  <c r="O69"/>
  <c r="O68"/>
  <c r="O67"/>
  <c r="O66"/>
  <c r="O65"/>
  <c r="O64"/>
  <c r="O63"/>
  <c r="O62"/>
  <c r="O61"/>
  <c r="O60"/>
  <c r="O59"/>
  <c r="O58"/>
  <c r="O57"/>
  <c r="O56"/>
  <c r="O55"/>
  <c r="O54"/>
  <c r="O53"/>
  <c r="O52"/>
  <c r="O51"/>
  <c r="O50"/>
  <c r="O49"/>
  <c r="O48"/>
  <c r="O47"/>
  <c r="O46"/>
  <c r="O45"/>
  <c r="O44"/>
  <c r="O43"/>
  <c r="O42"/>
  <c r="O41"/>
  <c r="O40"/>
  <c r="O39"/>
  <c r="O38"/>
  <c r="O37"/>
  <c r="O36"/>
  <c r="O35"/>
  <c r="O34"/>
  <c r="O33"/>
  <c r="O32"/>
  <c r="O31"/>
  <c r="O30"/>
  <c r="O29"/>
  <c r="O28"/>
  <c r="O27"/>
  <c r="O26"/>
  <c r="O25"/>
  <c r="O24"/>
  <c r="O23"/>
  <c r="O22"/>
  <c r="O21"/>
  <c r="O20"/>
  <c r="O19"/>
  <c r="O18"/>
  <c r="O17"/>
  <c r="O16"/>
  <c r="O15"/>
  <c r="O14"/>
  <c r="O13"/>
  <c r="O12"/>
  <c r="O11"/>
  <c r="O10"/>
  <c r="O9"/>
  <c r="O8"/>
  <c r="O7"/>
  <c r="O6"/>
  <c r="O5"/>
  <c r="O4"/>
  <c r="N213"/>
  <c r="N212"/>
  <c r="N211"/>
  <c r="N210"/>
  <c r="N209"/>
  <c r="N208"/>
  <c r="N207"/>
  <c r="N206"/>
  <c r="N205"/>
  <c r="N204"/>
  <c r="N203"/>
  <c r="N202"/>
  <c r="N201"/>
  <c r="N200"/>
  <c r="N199"/>
  <c r="N198"/>
  <c r="N197"/>
  <c r="N196"/>
  <c r="N195"/>
  <c r="N194"/>
  <c r="N193"/>
  <c r="N192"/>
  <c r="N191"/>
  <c r="N190"/>
  <c r="N189"/>
  <c r="N188"/>
  <c r="N187"/>
  <c r="N186"/>
  <c r="N185"/>
  <c r="N184"/>
  <c r="N183"/>
  <c r="N182"/>
  <c r="N181"/>
  <c r="N180"/>
  <c r="N179"/>
  <c r="N178"/>
  <c r="N177"/>
  <c r="N176"/>
  <c r="N175"/>
  <c r="N174"/>
  <c r="N173"/>
  <c r="N172"/>
  <c r="N171"/>
  <c r="N170"/>
  <c r="N169"/>
  <c r="N168"/>
  <c r="N167"/>
  <c r="N166"/>
  <c r="N165"/>
  <c r="N164"/>
  <c r="N163"/>
  <c r="N162"/>
  <c r="N161"/>
  <c r="N160"/>
  <c r="N159"/>
  <c r="N158"/>
  <c r="N157"/>
  <c r="N156"/>
  <c r="N155"/>
  <c r="N154"/>
  <c r="N153"/>
  <c r="N152"/>
  <c r="N151"/>
  <c r="N150"/>
  <c r="N149"/>
  <c r="N148"/>
  <c r="N147"/>
  <c r="N146"/>
  <c r="N145"/>
  <c r="N144"/>
  <c r="N143"/>
  <c r="N142"/>
  <c r="N141"/>
  <c r="N140"/>
  <c r="N139"/>
  <c r="N138"/>
  <c r="N137"/>
  <c r="N136"/>
  <c r="N135"/>
  <c r="N134"/>
  <c r="N133"/>
  <c r="N132"/>
  <c r="N131"/>
  <c r="N130"/>
  <c r="N129"/>
  <c r="N128"/>
  <c r="N127"/>
  <c r="N126"/>
  <c r="N125"/>
  <c r="N124"/>
  <c r="N123"/>
  <c r="N122"/>
  <c r="N121"/>
  <c r="N120"/>
  <c r="N119"/>
  <c r="N118"/>
  <c r="N117"/>
  <c r="N116"/>
  <c r="N115"/>
  <c r="N114"/>
  <c r="N113"/>
  <c r="N112"/>
  <c r="N111"/>
  <c r="N110"/>
  <c r="N109"/>
  <c r="N108"/>
  <c r="N107"/>
  <c r="N106"/>
  <c r="N105"/>
  <c r="N104"/>
  <c r="N103"/>
  <c r="N102"/>
  <c r="N101"/>
  <c r="N100"/>
  <c r="N99"/>
  <c r="N98"/>
  <c r="N97"/>
  <c r="N96"/>
  <c r="N95"/>
  <c r="N94"/>
  <c r="N93"/>
  <c r="N92"/>
  <c r="N91"/>
  <c r="N90"/>
  <c r="N89"/>
  <c r="N88"/>
  <c r="N87"/>
  <c r="N86"/>
  <c r="N85"/>
  <c r="N84"/>
  <c r="N83"/>
  <c r="N82"/>
  <c r="N81"/>
  <c r="N80"/>
  <c r="N79"/>
  <c r="N78"/>
  <c r="N77"/>
  <c r="N76"/>
  <c r="N75"/>
  <c r="N74"/>
  <c r="N73"/>
  <c r="N72"/>
  <c r="N71"/>
  <c r="N70"/>
  <c r="N69"/>
  <c r="N68"/>
  <c r="N67"/>
  <c r="N66"/>
  <c r="N65"/>
  <c r="N64"/>
  <c r="N63"/>
  <c r="N62"/>
  <c r="N61"/>
  <c r="N60"/>
  <c r="N59"/>
  <c r="N58"/>
  <c r="N57"/>
  <c r="N56"/>
  <c r="N55"/>
  <c r="N54"/>
  <c r="N53"/>
  <c r="N52"/>
  <c r="N51"/>
  <c r="N50"/>
  <c r="N49"/>
  <c r="N48"/>
  <c r="N47"/>
  <c r="N46"/>
  <c r="N45"/>
  <c r="N44"/>
  <c r="N43"/>
  <c r="N42"/>
  <c r="N41"/>
  <c r="N40"/>
  <c r="N39"/>
  <c r="N38"/>
  <c r="N37"/>
  <c r="N36"/>
  <c r="N35"/>
  <c r="N34"/>
  <c r="N33"/>
  <c r="N32"/>
  <c r="N31"/>
  <c r="N30"/>
  <c r="N29"/>
  <c r="N28"/>
  <c r="N27"/>
  <c r="N26"/>
  <c r="N25"/>
  <c r="N24"/>
  <c r="N23"/>
  <c r="N22"/>
  <c r="N21"/>
  <c r="N20"/>
  <c r="N19"/>
  <c r="N18"/>
  <c r="N17"/>
  <c r="N16"/>
  <c r="N15"/>
  <c r="N14"/>
  <c r="N13"/>
  <c r="N12"/>
  <c r="N11"/>
  <c r="N10"/>
  <c r="N9"/>
  <c r="N8"/>
  <c r="N7"/>
  <c r="N6"/>
  <c r="N5"/>
  <c r="N4"/>
  <c r="M213"/>
  <c r="M212"/>
  <c r="M211"/>
  <c r="M210"/>
  <c r="M209"/>
  <c r="M208"/>
  <c r="M207"/>
  <c r="M206"/>
  <c r="M205"/>
  <c r="M204"/>
  <c r="M203"/>
  <c r="M202"/>
  <c r="M201"/>
  <c r="M200"/>
  <c r="M199"/>
  <c r="M198"/>
  <c r="M197"/>
  <c r="M196"/>
  <c r="M195"/>
  <c r="M194"/>
  <c r="M193"/>
  <c r="M192"/>
  <c r="M191"/>
  <c r="M190"/>
  <c r="M189"/>
  <c r="M188"/>
  <c r="M187"/>
  <c r="M186"/>
  <c r="M185"/>
  <c r="M184"/>
  <c r="M183"/>
  <c r="M182"/>
  <c r="M181"/>
  <c r="M180"/>
  <c r="M179"/>
  <c r="M178"/>
  <c r="M177"/>
  <c r="M176"/>
  <c r="M175"/>
  <c r="M174"/>
  <c r="M173"/>
  <c r="M172"/>
  <c r="M171"/>
  <c r="M170"/>
  <c r="M169"/>
  <c r="M168"/>
  <c r="M167"/>
  <c r="M166"/>
  <c r="M165"/>
  <c r="M164"/>
  <c r="M163"/>
  <c r="M162"/>
  <c r="M161"/>
  <c r="M160"/>
  <c r="M159"/>
  <c r="M158"/>
  <c r="M157"/>
  <c r="M156"/>
  <c r="M155"/>
  <c r="M154"/>
  <c r="M153"/>
  <c r="M152"/>
  <c r="M151"/>
  <c r="M150"/>
  <c r="M149"/>
  <c r="M148"/>
  <c r="M147"/>
  <c r="M146"/>
  <c r="M145"/>
  <c r="M144"/>
  <c r="M143"/>
  <c r="M142"/>
  <c r="M141"/>
  <c r="M140"/>
  <c r="M139"/>
  <c r="M138"/>
  <c r="M137"/>
  <c r="M136"/>
  <c r="M135"/>
  <c r="M134"/>
  <c r="M133"/>
  <c r="M132"/>
  <c r="M131"/>
  <c r="M130"/>
  <c r="M129"/>
  <c r="M128"/>
  <c r="M127"/>
  <c r="M126"/>
  <c r="M125"/>
  <c r="M124"/>
  <c r="M123"/>
  <c r="M122"/>
  <c r="M121"/>
  <c r="M120"/>
  <c r="M119"/>
  <c r="M118"/>
  <c r="M117"/>
  <c r="M116"/>
  <c r="M115"/>
  <c r="M114"/>
  <c r="M113"/>
  <c r="M112"/>
  <c r="M111"/>
  <c r="M110"/>
  <c r="M109"/>
  <c r="M108"/>
  <c r="M107"/>
  <c r="M106"/>
  <c r="M105"/>
  <c r="M104"/>
  <c r="M103"/>
  <c r="M102"/>
  <c r="M101"/>
  <c r="M100"/>
  <c r="M99"/>
  <c r="M98"/>
  <c r="M97"/>
  <c r="M96"/>
  <c r="M95"/>
  <c r="M94"/>
  <c r="M93"/>
  <c r="M92"/>
  <c r="M91"/>
  <c r="M90"/>
  <c r="M89"/>
  <c r="M88"/>
  <c r="M87"/>
  <c r="M86"/>
  <c r="M85"/>
  <c r="M84"/>
  <c r="M83"/>
  <c r="M82"/>
  <c r="M81"/>
  <c r="M80"/>
  <c r="M79"/>
  <c r="M78"/>
  <c r="M77"/>
  <c r="M76"/>
  <c r="M75"/>
  <c r="M74"/>
  <c r="M73"/>
  <c r="M72"/>
  <c r="M71"/>
  <c r="M70"/>
  <c r="M69"/>
  <c r="M68"/>
  <c r="M67"/>
  <c r="M66"/>
  <c r="M65"/>
  <c r="M64"/>
  <c r="M63"/>
  <c r="M62"/>
  <c r="M61"/>
  <c r="M60"/>
  <c r="M59"/>
  <c r="M58"/>
  <c r="M57"/>
  <c r="M56"/>
  <c r="M55"/>
  <c r="M54"/>
  <c r="M53"/>
  <c r="M52"/>
  <c r="M51"/>
  <c r="M50"/>
  <c r="M49"/>
  <c r="M48"/>
  <c r="M47"/>
  <c r="M46"/>
  <c r="M45"/>
  <c r="M45" i="12" s="1"/>
  <c r="M44" i="10"/>
  <c r="M43"/>
  <c r="M42"/>
  <c r="M41"/>
  <c r="M40"/>
  <c r="M39"/>
  <c r="M38"/>
  <c r="M37"/>
  <c r="M37" i="12" s="1"/>
  <c r="M36" i="10"/>
  <c r="M35"/>
  <c r="M34"/>
  <c r="M33"/>
  <c r="M32"/>
  <c r="M31"/>
  <c r="M30"/>
  <c r="M29"/>
  <c r="M29" i="12" s="1"/>
  <c r="M28" i="10"/>
  <c r="M27"/>
  <c r="M26"/>
  <c r="M25"/>
  <c r="M24"/>
  <c r="M23"/>
  <c r="M22"/>
  <c r="M21"/>
  <c r="M21" i="12" s="1"/>
  <c r="M20" i="10"/>
  <c r="M19"/>
  <c r="M18"/>
  <c r="M17"/>
  <c r="M16"/>
  <c r="M15"/>
  <c r="M14"/>
  <c r="M13"/>
  <c r="M13" i="12" s="1"/>
  <c r="M12" i="10"/>
  <c r="M11"/>
  <c r="M10"/>
  <c r="M9"/>
  <c r="M8"/>
  <c r="M7"/>
  <c r="M6"/>
  <c r="M5"/>
  <c r="M5" i="12" s="1"/>
  <c r="M4" i="10"/>
  <c r="L213"/>
  <c r="L212"/>
  <c r="L211"/>
  <c r="L210"/>
  <c r="L209"/>
  <c r="L208"/>
  <c r="L207"/>
  <c r="L206"/>
  <c r="L205"/>
  <c r="L204"/>
  <c r="L203"/>
  <c r="L202"/>
  <c r="L201"/>
  <c r="L200"/>
  <c r="L199"/>
  <c r="L198"/>
  <c r="L197"/>
  <c r="L196"/>
  <c r="L195"/>
  <c r="L194"/>
  <c r="L193"/>
  <c r="L192"/>
  <c r="L191"/>
  <c r="L190"/>
  <c r="L189"/>
  <c r="L188"/>
  <c r="L187"/>
  <c r="L186"/>
  <c r="L185"/>
  <c r="L184"/>
  <c r="L183"/>
  <c r="L182"/>
  <c r="L181"/>
  <c r="L180"/>
  <c r="L179"/>
  <c r="L178"/>
  <c r="L177"/>
  <c r="L176"/>
  <c r="L175"/>
  <c r="L174"/>
  <c r="L173"/>
  <c r="L172"/>
  <c r="L171"/>
  <c r="L170"/>
  <c r="L169"/>
  <c r="L168"/>
  <c r="L167"/>
  <c r="L166"/>
  <c r="L165"/>
  <c r="L164"/>
  <c r="L163"/>
  <c r="L162"/>
  <c r="L161"/>
  <c r="L160"/>
  <c r="L159"/>
  <c r="L158"/>
  <c r="L157"/>
  <c r="L156"/>
  <c r="L155"/>
  <c r="L154"/>
  <c r="L153"/>
  <c r="L152"/>
  <c r="L151"/>
  <c r="L150"/>
  <c r="L149"/>
  <c r="L148"/>
  <c r="L147"/>
  <c r="L146"/>
  <c r="L145"/>
  <c r="L144"/>
  <c r="L143"/>
  <c r="L142"/>
  <c r="L141"/>
  <c r="L140"/>
  <c r="L139"/>
  <c r="L138"/>
  <c r="L137"/>
  <c r="L136"/>
  <c r="L135"/>
  <c r="L134"/>
  <c r="L133"/>
  <c r="L132"/>
  <c r="L131"/>
  <c r="L130"/>
  <c r="L129"/>
  <c r="L128"/>
  <c r="L127"/>
  <c r="L126"/>
  <c r="L125"/>
  <c r="L124"/>
  <c r="L123"/>
  <c r="L122"/>
  <c r="L121"/>
  <c r="L120"/>
  <c r="L119"/>
  <c r="L118"/>
  <c r="L117"/>
  <c r="L116"/>
  <c r="L115"/>
  <c r="L114"/>
  <c r="L113"/>
  <c r="L112"/>
  <c r="L111"/>
  <c r="L110"/>
  <c r="L109"/>
  <c r="L108"/>
  <c r="L107"/>
  <c r="L106"/>
  <c r="L105"/>
  <c r="L104"/>
  <c r="L103"/>
  <c r="L102"/>
  <c r="L101"/>
  <c r="L100"/>
  <c r="L99"/>
  <c r="L98"/>
  <c r="L97"/>
  <c r="L96"/>
  <c r="L95"/>
  <c r="L94"/>
  <c r="L93"/>
  <c r="L92"/>
  <c r="L91"/>
  <c r="L90"/>
  <c r="L89"/>
  <c r="L88"/>
  <c r="L87"/>
  <c r="L86"/>
  <c r="L85"/>
  <c r="L84"/>
  <c r="L83"/>
  <c r="L82"/>
  <c r="L81"/>
  <c r="L80"/>
  <c r="L79"/>
  <c r="L78"/>
  <c r="L77"/>
  <c r="L76"/>
  <c r="L75"/>
  <c r="L74"/>
  <c r="L73"/>
  <c r="L72"/>
  <c r="L71"/>
  <c r="L70"/>
  <c r="L69"/>
  <c r="L68"/>
  <c r="L67"/>
  <c r="L66"/>
  <c r="L65"/>
  <c r="L64"/>
  <c r="L63"/>
  <c r="L62"/>
  <c r="L61"/>
  <c r="L60"/>
  <c r="L59"/>
  <c r="L58"/>
  <c r="L57"/>
  <c r="L56"/>
  <c r="L55"/>
  <c r="L54"/>
  <c r="L53"/>
  <c r="L52"/>
  <c r="L51"/>
  <c r="L50"/>
  <c r="L49"/>
  <c r="L48"/>
  <c r="L47"/>
  <c r="L46"/>
  <c r="L45"/>
  <c r="L44"/>
  <c r="L43"/>
  <c r="L42"/>
  <c r="L41"/>
  <c r="L40"/>
  <c r="L39"/>
  <c r="L38"/>
  <c r="L37"/>
  <c r="L36"/>
  <c r="L35"/>
  <c r="L34"/>
  <c r="L33"/>
  <c r="L32"/>
  <c r="L31"/>
  <c r="L30"/>
  <c r="L29"/>
  <c r="L28"/>
  <c r="L27"/>
  <c r="L26"/>
  <c r="L25"/>
  <c r="L24"/>
  <c r="L23"/>
  <c r="L22"/>
  <c r="L21"/>
  <c r="L20"/>
  <c r="L19"/>
  <c r="L18"/>
  <c r="L17"/>
  <c r="L16"/>
  <c r="L15"/>
  <c r="L14"/>
  <c r="L13"/>
  <c r="L12"/>
  <c r="L11"/>
  <c r="L10"/>
  <c r="L9"/>
  <c r="L8"/>
  <c r="L7"/>
  <c r="L6"/>
  <c r="L5"/>
  <c r="L4"/>
  <c r="K213"/>
  <c r="K212"/>
  <c r="K211"/>
  <c r="K210"/>
  <c r="K209"/>
  <c r="K208"/>
  <c r="K207"/>
  <c r="K206"/>
  <c r="K205"/>
  <c r="K204"/>
  <c r="K203"/>
  <c r="K202"/>
  <c r="K201"/>
  <c r="K200"/>
  <c r="K199"/>
  <c r="K198"/>
  <c r="K197"/>
  <c r="K196"/>
  <c r="K195"/>
  <c r="K194"/>
  <c r="K193"/>
  <c r="K192"/>
  <c r="K191"/>
  <c r="K190"/>
  <c r="K189"/>
  <c r="K188"/>
  <c r="K187"/>
  <c r="K186"/>
  <c r="K185"/>
  <c r="K184"/>
  <c r="K183"/>
  <c r="K182"/>
  <c r="K181"/>
  <c r="K180"/>
  <c r="K179"/>
  <c r="K178"/>
  <c r="K177"/>
  <c r="K176"/>
  <c r="K175"/>
  <c r="K174"/>
  <c r="K173"/>
  <c r="K172"/>
  <c r="K171"/>
  <c r="K170"/>
  <c r="K169"/>
  <c r="K168"/>
  <c r="K167"/>
  <c r="K166"/>
  <c r="K165"/>
  <c r="K164"/>
  <c r="K163"/>
  <c r="K162"/>
  <c r="K161"/>
  <c r="K160"/>
  <c r="K159"/>
  <c r="K158"/>
  <c r="K157"/>
  <c r="K156"/>
  <c r="K155"/>
  <c r="K154"/>
  <c r="K153"/>
  <c r="K152"/>
  <c r="K151"/>
  <c r="K150"/>
  <c r="K149"/>
  <c r="K148"/>
  <c r="K147"/>
  <c r="K146"/>
  <c r="K145"/>
  <c r="K144"/>
  <c r="K143"/>
  <c r="K142"/>
  <c r="K141"/>
  <c r="K140"/>
  <c r="K139"/>
  <c r="K138"/>
  <c r="K137"/>
  <c r="K136"/>
  <c r="K135"/>
  <c r="K134"/>
  <c r="K133"/>
  <c r="K132"/>
  <c r="K131"/>
  <c r="K130"/>
  <c r="K129"/>
  <c r="K128"/>
  <c r="K127"/>
  <c r="K126"/>
  <c r="K125"/>
  <c r="K124"/>
  <c r="K123"/>
  <c r="K122"/>
  <c r="K121"/>
  <c r="K120"/>
  <c r="K119"/>
  <c r="K118"/>
  <c r="K117"/>
  <c r="K116"/>
  <c r="K115"/>
  <c r="K114"/>
  <c r="K113"/>
  <c r="K112"/>
  <c r="K111"/>
  <c r="K110"/>
  <c r="K109"/>
  <c r="K108"/>
  <c r="K107"/>
  <c r="K106"/>
  <c r="K105"/>
  <c r="K104"/>
  <c r="K103"/>
  <c r="K102"/>
  <c r="K101"/>
  <c r="K100"/>
  <c r="K99"/>
  <c r="K98"/>
  <c r="K97"/>
  <c r="K96"/>
  <c r="K95"/>
  <c r="K94"/>
  <c r="K93"/>
  <c r="K92"/>
  <c r="K91"/>
  <c r="K90"/>
  <c r="K89"/>
  <c r="K88"/>
  <c r="K87"/>
  <c r="K86"/>
  <c r="K85"/>
  <c r="K84"/>
  <c r="K83"/>
  <c r="K82"/>
  <c r="K81"/>
  <c r="K80"/>
  <c r="K79"/>
  <c r="K78"/>
  <c r="K77"/>
  <c r="K76"/>
  <c r="K75"/>
  <c r="K74"/>
  <c r="K73"/>
  <c r="K72"/>
  <c r="K71"/>
  <c r="K70"/>
  <c r="K69"/>
  <c r="K68"/>
  <c r="K67"/>
  <c r="K66"/>
  <c r="K65"/>
  <c r="K64"/>
  <c r="K63"/>
  <c r="K62"/>
  <c r="K61"/>
  <c r="K60"/>
  <c r="K59"/>
  <c r="K58"/>
  <c r="K57"/>
  <c r="K56"/>
  <c r="K55"/>
  <c r="K54"/>
  <c r="K53"/>
  <c r="K52"/>
  <c r="K51"/>
  <c r="K50"/>
  <c r="K49"/>
  <c r="K48"/>
  <c r="K47"/>
  <c r="K46"/>
  <c r="K45"/>
  <c r="K44"/>
  <c r="K43"/>
  <c r="K42"/>
  <c r="K41"/>
  <c r="K40"/>
  <c r="K39"/>
  <c r="K38"/>
  <c r="K37"/>
  <c r="K36"/>
  <c r="K35"/>
  <c r="K34"/>
  <c r="K33"/>
  <c r="K32"/>
  <c r="K31"/>
  <c r="K30"/>
  <c r="K29"/>
  <c r="K28"/>
  <c r="K27"/>
  <c r="K26"/>
  <c r="K25"/>
  <c r="K24"/>
  <c r="K23"/>
  <c r="K22"/>
  <c r="K21"/>
  <c r="K20"/>
  <c r="K19"/>
  <c r="K18"/>
  <c r="K17"/>
  <c r="K16"/>
  <c r="K15"/>
  <c r="K14"/>
  <c r="K13"/>
  <c r="K12"/>
  <c r="K11"/>
  <c r="K10"/>
  <c r="K9"/>
  <c r="K8"/>
  <c r="K7"/>
  <c r="K6"/>
  <c r="K5"/>
  <c r="K4"/>
  <c r="J213"/>
  <c r="J212"/>
  <c r="J211"/>
  <c r="J210"/>
  <c r="J209"/>
  <c r="J208"/>
  <c r="J207"/>
  <c r="J206"/>
  <c r="J205"/>
  <c r="J204"/>
  <c r="J203"/>
  <c r="J202"/>
  <c r="J201"/>
  <c r="J200"/>
  <c r="J199"/>
  <c r="J198"/>
  <c r="J197"/>
  <c r="J196"/>
  <c r="J195"/>
  <c r="J194"/>
  <c r="J193"/>
  <c r="J192"/>
  <c r="J191"/>
  <c r="J190"/>
  <c r="J189"/>
  <c r="J188"/>
  <c r="J187"/>
  <c r="J186"/>
  <c r="J185"/>
  <c r="J184"/>
  <c r="J183"/>
  <c r="J182"/>
  <c r="J181"/>
  <c r="J180"/>
  <c r="J179"/>
  <c r="J178"/>
  <c r="J177"/>
  <c r="J176"/>
  <c r="J175"/>
  <c r="J174"/>
  <c r="J173"/>
  <c r="J172"/>
  <c r="J171"/>
  <c r="J170"/>
  <c r="J169"/>
  <c r="J168"/>
  <c r="J167"/>
  <c r="J166"/>
  <c r="J165"/>
  <c r="J164"/>
  <c r="J163"/>
  <c r="J162"/>
  <c r="J161"/>
  <c r="J160"/>
  <c r="J159"/>
  <c r="J158"/>
  <c r="J157"/>
  <c r="J156"/>
  <c r="J155"/>
  <c r="J154"/>
  <c r="J153"/>
  <c r="J152"/>
  <c r="J151"/>
  <c r="J150"/>
  <c r="J149"/>
  <c r="J148"/>
  <c r="J147"/>
  <c r="J146"/>
  <c r="J145"/>
  <c r="J144"/>
  <c r="J143"/>
  <c r="J142"/>
  <c r="J141"/>
  <c r="J140"/>
  <c r="J139"/>
  <c r="J138"/>
  <c r="J137"/>
  <c r="J136"/>
  <c r="J135"/>
  <c r="J134"/>
  <c r="J133"/>
  <c r="J132"/>
  <c r="J131"/>
  <c r="J130"/>
  <c r="J129"/>
  <c r="J128"/>
  <c r="J127"/>
  <c r="J126"/>
  <c r="J125"/>
  <c r="J124"/>
  <c r="J123"/>
  <c r="J122"/>
  <c r="J121"/>
  <c r="J120"/>
  <c r="J119"/>
  <c r="J118"/>
  <c r="J117"/>
  <c r="J116"/>
  <c r="J115"/>
  <c r="J114"/>
  <c r="J113"/>
  <c r="J112"/>
  <c r="J111"/>
  <c r="J110"/>
  <c r="J109"/>
  <c r="J108"/>
  <c r="J107"/>
  <c r="J106"/>
  <c r="J105"/>
  <c r="J104"/>
  <c r="J103"/>
  <c r="J102"/>
  <c r="J101"/>
  <c r="J100"/>
  <c r="J99"/>
  <c r="J98"/>
  <c r="J97"/>
  <c r="J96"/>
  <c r="J95"/>
  <c r="J94"/>
  <c r="J93"/>
  <c r="J92"/>
  <c r="J91"/>
  <c r="J90"/>
  <c r="J89"/>
  <c r="J88"/>
  <c r="J87"/>
  <c r="J86"/>
  <c r="J85"/>
  <c r="J84"/>
  <c r="J83"/>
  <c r="J82"/>
  <c r="J81"/>
  <c r="J80"/>
  <c r="J79"/>
  <c r="J78"/>
  <c r="J77"/>
  <c r="J76"/>
  <c r="J75"/>
  <c r="J74"/>
  <c r="J73"/>
  <c r="J72"/>
  <c r="J71"/>
  <c r="J70"/>
  <c r="J69"/>
  <c r="J68"/>
  <c r="J67"/>
  <c r="J66"/>
  <c r="J65"/>
  <c r="J64"/>
  <c r="J63"/>
  <c r="J62"/>
  <c r="J61"/>
  <c r="J60"/>
  <c r="J59"/>
  <c r="J58"/>
  <c r="J57"/>
  <c r="J56"/>
  <c r="J55"/>
  <c r="J54"/>
  <c r="J53"/>
  <c r="J52"/>
  <c r="J51"/>
  <c r="J50"/>
  <c r="J49"/>
  <c r="J48"/>
  <c r="J47"/>
  <c r="J46"/>
  <c r="J45"/>
  <c r="J44"/>
  <c r="J43"/>
  <c r="J42"/>
  <c r="J41"/>
  <c r="J40"/>
  <c r="J39"/>
  <c r="J38"/>
  <c r="J37"/>
  <c r="J36"/>
  <c r="J35"/>
  <c r="J34"/>
  <c r="J33"/>
  <c r="J32"/>
  <c r="J31"/>
  <c r="J30"/>
  <c r="J29"/>
  <c r="J28"/>
  <c r="J27"/>
  <c r="J26"/>
  <c r="J25"/>
  <c r="J24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J4"/>
  <c r="H213"/>
  <c r="G213"/>
  <c r="H212"/>
  <c r="G212"/>
  <c r="H211"/>
  <c r="G211"/>
  <c r="H210"/>
  <c r="G210"/>
  <c r="H209"/>
  <c r="G209"/>
  <c r="H208"/>
  <c r="G208"/>
  <c r="H207"/>
  <c r="G207"/>
  <c r="H206"/>
  <c r="G206"/>
  <c r="H205"/>
  <c r="G205"/>
  <c r="H204"/>
  <c r="G204"/>
  <c r="H203"/>
  <c r="G203"/>
  <c r="H202"/>
  <c r="G202"/>
  <c r="H201"/>
  <c r="G201"/>
  <c r="H200"/>
  <c r="G200"/>
  <c r="H199"/>
  <c r="G199"/>
  <c r="H198"/>
  <c r="G198"/>
  <c r="H197"/>
  <c r="G197"/>
  <c r="H196"/>
  <c r="G196"/>
  <c r="H195"/>
  <c r="G195"/>
  <c r="H194"/>
  <c r="G194"/>
  <c r="H193"/>
  <c r="G193"/>
  <c r="H192"/>
  <c r="G192"/>
  <c r="H191"/>
  <c r="G191"/>
  <c r="H190"/>
  <c r="G190"/>
  <c r="H189"/>
  <c r="G189"/>
  <c r="H188"/>
  <c r="G188"/>
  <c r="H187"/>
  <c r="G187"/>
  <c r="H186"/>
  <c r="G186"/>
  <c r="H185"/>
  <c r="G185"/>
  <c r="H184"/>
  <c r="G184"/>
  <c r="H183"/>
  <c r="G183"/>
  <c r="H182"/>
  <c r="G182"/>
  <c r="H181"/>
  <c r="G181"/>
  <c r="H180"/>
  <c r="G180"/>
  <c r="H179"/>
  <c r="G179"/>
  <c r="H178"/>
  <c r="G178"/>
  <c r="H177"/>
  <c r="G177"/>
  <c r="H176"/>
  <c r="G176"/>
  <c r="H175"/>
  <c r="G175"/>
  <c r="H174"/>
  <c r="G174"/>
  <c r="H173"/>
  <c r="G173"/>
  <c r="H172"/>
  <c r="G172"/>
  <c r="H171"/>
  <c r="G171"/>
  <c r="H170"/>
  <c r="G170"/>
  <c r="H169"/>
  <c r="G169"/>
  <c r="H168"/>
  <c r="G168"/>
  <c r="H167"/>
  <c r="G167"/>
  <c r="H166"/>
  <c r="G166"/>
  <c r="H165"/>
  <c r="G165"/>
  <c r="H164"/>
  <c r="G164"/>
  <c r="H163"/>
  <c r="G163"/>
  <c r="H162"/>
  <c r="G162"/>
  <c r="H161"/>
  <c r="G161"/>
  <c r="H160"/>
  <c r="G160"/>
  <c r="H159"/>
  <c r="G159"/>
  <c r="H158"/>
  <c r="G158"/>
  <c r="H157"/>
  <c r="G157"/>
  <c r="H156"/>
  <c r="G156"/>
  <c r="H155"/>
  <c r="G155"/>
  <c r="H154"/>
  <c r="G154"/>
  <c r="H153"/>
  <c r="G153"/>
  <c r="H152"/>
  <c r="G152"/>
  <c r="H151"/>
  <c r="G151"/>
  <c r="H150"/>
  <c r="G150"/>
  <c r="H149"/>
  <c r="G149"/>
  <c r="H148"/>
  <c r="G148"/>
  <c r="H147"/>
  <c r="G147"/>
  <c r="H146"/>
  <c r="G146"/>
  <c r="H145"/>
  <c r="G145"/>
  <c r="H144"/>
  <c r="G144"/>
  <c r="H143"/>
  <c r="G143"/>
  <c r="H142"/>
  <c r="G142"/>
  <c r="H141"/>
  <c r="G141"/>
  <c r="H140"/>
  <c r="G140"/>
  <c r="H139"/>
  <c r="G139"/>
  <c r="H138"/>
  <c r="G138"/>
  <c r="H137"/>
  <c r="G137"/>
  <c r="H136"/>
  <c r="G136"/>
  <c r="H135"/>
  <c r="G135"/>
  <c r="H134"/>
  <c r="G134"/>
  <c r="H133"/>
  <c r="G133"/>
  <c r="H132"/>
  <c r="G132"/>
  <c r="H131"/>
  <c r="G131"/>
  <c r="H130"/>
  <c r="G130"/>
  <c r="H129"/>
  <c r="G129"/>
  <c r="H128"/>
  <c r="G128"/>
  <c r="H127"/>
  <c r="G127"/>
  <c r="H126"/>
  <c r="G126"/>
  <c r="H125"/>
  <c r="G125"/>
  <c r="H124"/>
  <c r="G124"/>
  <c r="H123"/>
  <c r="G123"/>
  <c r="H122"/>
  <c r="G122"/>
  <c r="H121"/>
  <c r="G121"/>
  <c r="H120"/>
  <c r="G120"/>
  <c r="H119"/>
  <c r="G119"/>
  <c r="H118"/>
  <c r="G118"/>
  <c r="H117"/>
  <c r="G117"/>
  <c r="H116"/>
  <c r="G116"/>
  <c r="H115"/>
  <c r="G115"/>
  <c r="H114"/>
  <c r="G114"/>
  <c r="H113"/>
  <c r="G113"/>
  <c r="H112"/>
  <c r="G112"/>
  <c r="H111"/>
  <c r="G111"/>
  <c r="H110"/>
  <c r="G110"/>
  <c r="H109"/>
  <c r="G109"/>
  <c r="H108"/>
  <c r="G108"/>
  <c r="H107"/>
  <c r="G107"/>
  <c r="H106"/>
  <c r="G106"/>
  <c r="H105"/>
  <c r="G105"/>
  <c r="H104"/>
  <c r="G104"/>
  <c r="H103"/>
  <c r="G103"/>
  <c r="H102"/>
  <c r="G102"/>
  <c r="H101"/>
  <c r="G101"/>
  <c r="H100"/>
  <c r="G100"/>
  <c r="H99"/>
  <c r="G99"/>
  <c r="H98"/>
  <c r="G98"/>
  <c r="H97"/>
  <c r="G97"/>
  <c r="H96"/>
  <c r="G96"/>
  <c r="H95"/>
  <c r="G95"/>
  <c r="H94"/>
  <c r="G94"/>
  <c r="H93"/>
  <c r="G93"/>
  <c r="H92"/>
  <c r="G92"/>
  <c r="H91"/>
  <c r="G91"/>
  <c r="H90"/>
  <c r="G90"/>
  <c r="H89"/>
  <c r="G89"/>
  <c r="H88"/>
  <c r="G88"/>
  <c r="H87"/>
  <c r="G87"/>
  <c r="H86"/>
  <c r="G86"/>
  <c r="H85"/>
  <c r="G85"/>
  <c r="H84"/>
  <c r="G84"/>
  <c r="H83"/>
  <c r="G83"/>
  <c r="H82"/>
  <c r="G82"/>
  <c r="H81"/>
  <c r="G81"/>
  <c r="H80"/>
  <c r="G80"/>
  <c r="H79"/>
  <c r="G79"/>
  <c r="H78"/>
  <c r="G78"/>
  <c r="H77"/>
  <c r="G77"/>
  <c r="H76"/>
  <c r="G76"/>
  <c r="H75"/>
  <c r="G75"/>
  <c r="H74"/>
  <c r="G74"/>
  <c r="H73"/>
  <c r="G73"/>
  <c r="H72"/>
  <c r="G72"/>
  <c r="H71"/>
  <c r="G71"/>
  <c r="H70"/>
  <c r="G70"/>
  <c r="H69"/>
  <c r="G69"/>
  <c r="H68"/>
  <c r="G68"/>
  <c r="H67"/>
  <c r="G67"/>
  <c r="H66"/>
  <c r="G66"/>
  <c r="H65"/>
  <c r="G65"/>
  <c r="H64"/>
  <c r="G64"/>
  <c r="H63"/>
  <c r="G63"/>
  <c r="H62"/>
  <c r="G62"/>
  <c r="H61"/>
  <c r="G61"/>
  <c r="H60"/>
  <c r="G60"/>
  <c r="H59"/>
  <c r="G59"/>
  <c r="H58"/>
  <c r="G58"/>
  <c r="H57"/>
  <c r="G57"/>
  <c r="H56"/>
  <c r="G56"/>
  <c r="H55"/>
  <c r="G55"/>
  <c r="H54"/>
  <c r="G54"/>
  <c r="H53"/>
  <c r="G53"/>
  <c r="H52"/>
  <c r="G52"/>
  <c r="H51"/>
  <c r="G51"/>
  <c r="H50"/>
  <c r="G50"/>
  <c r="H49"/>
  <c r="G49"/>
  <c r="H48"/>
  <c r="G48"/>
  <c r="H47"/>
  <c r="G47"/>
  <c r="H46"/>
  <c r="G46"/>
  <c r="H45"/>
  <c r="G45"/>
  <c r="H44"/>
  <c r="G44"/>
  <c r="H43"/>
  <c r="G43"/>
  <c r="H42"/>
  <c r="G42"/>
  <c r="H41"/>
  <c r="G41"/>
  <c r="H40"/>
  <c r="G40"/>
  <c r="H39"/>
  <c r="G39"/>
  <c r="H38"/>
  <c r="G38"/>
  <c r="H37"/>
  <c r="G37"/>
  <c r="H36"/>
  <c r="G36"/>
  <c r="H35"/>
  <c r="G35"/>
  <c r="H34"/>
  <c r="G34"/>
  <c r="H33"/>
  <c r="G33"/>
  <c r="H32"/>
  <c r="G32"/>
  <c r="H31"/>
  <c r="G31"/>
  <c r="H30"/>
  <c r="G30"/>
  <c r="H29"/>
  <c r="G29"/>
  <c r="H28"/>
  <c r="G28"/>
  <c r="H27"/>
  <c r="G27"/>
  <c r="H26"/>
  <c r="G26"/>
  <c r="H25"/>
  <c r="G25"/>
  <c r="H24"/>
  <c r="G24"/>
  <c r="H23"/>
  <c r="G23"/>
  <c r="H22"/>
  <c r="G22"/>
  <c r="H21"/>
  <c r="G21"/>
  <c r="H20"/>
  <c r="G20"/>
  <c r="H19"/>
  <c r="G19"/>
  <c r="H18"/>
  <c r="G18"/>
  <c r="V18" s="1"/>
  <c r="H17"/>
  <c r="G17"/>
  <c r="H16"/>
  <c r="G16"/>
  <c r="H15"/>
  <c r="G15"/>
  <c r="H14"/>
  <c r="G14"/>
  <c r="V14" s="1"/>
  <c r="H13"/>
  <c r="G13"/>
  <c r="H12"/>
  <c r="G12"/>
  <c r="H11"/>
  <c r="G11"/>
  <c r="H10"/>
  <c r="G10"/>
  <c r="H9"/>
  <c r="G9"/>
  <c r="H8"/>
  <c r="G8"/>
  <c r="H7"/>
  <c r="G7"/>
  <c r="H6"/>
  <c r="G6"/>
  <c r="V6" s="1"/>
  <c r="H5"/>
  <c r="G5"/>
  <c r="H4"/>
  <c r="G4"/>
  <c r="V22"/>
  <c r="V10"/>
  <c r="BL213"/>
  <c r="BK213"/>
  <c r="BI213"/>
  <c r="BH213"/>
  <c r="BG213"/>
  <c r="BE213"/>
  <c r="BD213"/>
  <c r="BC213"/>
  <c r="BA213"/>
  <c r="AZ213"/>
  <c r="AY213"/>
  <c r="AW213"/>
  <c r="AV213"/>
  <c r="AU213"/>
  <c r="AS213"/>
  <c r="AR213"/>
  <c r="AQ213"/>
  <c r="AO213"/>
  <c r="AN213"/>
  <c r="AM213"/>
  <c r="AK213"/>
  <c r="AJ213"/>
  <c r="AH213"/>
  <c r="AF213"/>
  <c r="AE213"/>
  <c r="AD213"/>
  <c r="AC213"/>
  <c r="AB213"/>
  <c r="AA213"/>
  <c r="Z213"/>
  <c r="Y213"/>
  <c r="X213"/>
  <c r="BL212"/>
  <c r="BK212"/>
  <c r="BI212"/>
  <c r="BH212"/>
  <c r="BG212"/>
  <c r="BE212"/>
  <c r="BD212"/>
  <c r="BC212"/>
  <c r="BA212"/>
  <c r="AZ212"/>
  <c r="AY212"/>
  <c r="AW212"/>
  <c r="AV212"/>
  <c r="AU212"/>
  <c r="AS212"/>
  <c r="AR212"/>
  <c r="AQ212"/>
  <c r="AO212"/>
  <c r="AN212"/>
  <c r="AM212"/>
  <c r="AK212"/>
  <c r="AJ212"/>
  <c r="AH212"/>
  <c r="AF212"/>
  <c r="AE212"/>
  <c r="AD212"/>
  <c r="AC212"/>
  <c r="AB212"/>
  <c r="AA212"/>
  <c r="Z212"/>
  <c r="Y212"/>
  <c r="X212"/>
  <c r="BL211"/>
  <c r="BK211"/>
  <c r="BI211"/>
  <c r="BH211"/>
  <c r="BG211"/>
  <c r="BE211"/>
  <c r="BD211"/>
  <c r="BC211"/>
  <c r="BA211"/>
  <c r="AZ211"/>
  <c r="AY211"/>
  <c r="AW211"/>
  <c r="AV211"/>
  <c r="AU211"/>
  <c r="AS211"/>
  <c r="AR211"/>
  <c r="AQ211"/>
  <c r="AO211"/>
  <c r="AN211"/>
  <c r="AM211"/>
  <c r="AK211"/>
  <c r="AJ211"/>
  <c r="AH211"/>
  <c r="AF211"/>
  <c r="AE211"/>
  <c r="AD211"/>
  <c r="AC211"/>
  <c r="AB211"/>
  <c r="AA211"/>
  <c r="Z211"/>
  <c r="Y211"/>
  <c r="X211"/>
  <c r="BL210"/>
  <c r="BK210"/>
  <c r="BI210"/>
  <c r="BH210"/>
  <c r="BG210"/>
  <c r="BE210"/>
  <c r="BD210"/>
  <c r="BC210"/>
  <c r="BA210"/>
  <c r="AZ210"/>
  <c r="AY210"/>
  <c r="AW210"/>
  <c r="AV210"/>
  <c r="AU210"/>
  <c r="AS210"/>
  <c r="AR210"/>
  <c r="AQ210"/>
  <c r="AO210"/>
  <c r="AN210"/>
  <c r="AM210"/>
  <c r="AK210"/>
  <c r="AJ210"/>
  <c r="AH210"/>
  <c r="AF210"/>
  <c r="AE210"/>
  <c r="AD210"/>
  <c r="AC210"/>
  <c r="AB210"/>
  <c r="AA210"/>
  <c r="Z210"/>
  <c r="Y210"/>
  <c r="X210"/>
  <c r="BL209"/>
  <c r="BK209"/>
  <c r="BI209"/>
  <c r="BH209"/>
  <c r="BG209"/>
  <c r="BE209"/>
  <c r="BD209"/>
  <c r="BC209"/>
  <c r="BA209"/>
  <c r="AZ209"/>
  <c r="AY209"/>
  <c r="AW209"/>
  <c r="AV209"/>
  <c r="AU209"/>
  <c r="AS209"/>
  <c r="AR209"/>
  <c r="AQ209"/>
  <c r="AO209"/>
  <c r="AN209"/>
  <c r="AM209"/>
  <c r="AK209"/>
  <c r="AJ209"/>
  <c r="AH209"/>
  <c r="AF209"/>
  <c r="AE209"/>
  <c r="AD209"/>
  <c r="AC209"/>
  <c r="AB209"/>
  <c r="AA209"/>
  <c r="Z209"/>
  <c r="Y209"/>
  <c r="X209"/>
  <c r="BL208"/>
  <c r="BK208"/>
  <c r="BI208"/>
  <c r="BH208"/>
  <c r="BG208"/>
  <c r="BE208"/>
  <c r="BD208"/>
  <c r="BC208"/>
  <c r="BA208"/>
  <c r="AZ208"/>
  <c r="AY208"/>
  <c r="AW208"/>
  <c r="AV208"/>
  <c r="AU208"/>
  <c r="AS208"/>
  <c r="AR208"/>
  <c r="AQ208"/>
  <c r="AO208"/>
  <c r="AN208"/>
  <c r="AM208"/>
  <c r="AK208"/>
  <c r="AJ208"/>
  <c r="AH208"/>
  <c r="AF208"/>
  <c r="AE208"/>
  <c r="AD208"/>
  <c r="AC208"/>
  <c r="AB208"/>
  <c r="AA208"/>
  <c r="Z208"/>
  <c r="Y208"/>
  <c r="X208"/>
  <c r="BL207"/>
  <c r="BK207"/>
  <c r="BI207"/>
  <c r="BH207"/>
  <c r="BG207"/>
  <c r="BE207"/>
  <c r="BD207"/>
  <c r="BC207"/>
  <c r="BA207"/>
  <c r="AZ207"/>
  <c r="AY207"/>
  <c r="AW207"/>
  <c r="AV207"/>
  <c r="AU207"/>
  <c r="AS207"/>
  <c r="AR207"/>
  <c r="AQ207"/>
  <c r="AO207"/>
  <c r="AN207"/>
  <c r="AM207"/>
  <c r="AK207"/>
  <c r="AJ207"/>
  <c r="AH207"/>
  <c r="AF207"/>
  <c r="AE207"/>
  <c r="AD207"/>
  <c r="AC207"/>
  <c r="AB207"/>
  <c r="AA207"/>
  <c r="Z207"/>
  <c r="Y207"/>
  <c r="X207"/>
  <c r="BL206"/>
  <c r="BK206"/>
  <c r="BI206"/>
  <c r="BH206"/>
  <c r="BG206"/>
  <c r="BE206"/>
  <c r="BD206"/>
  <c r="BC206"/>
  <c r="BA206"/>
  <c r="AZ206"/>
  <c r="AY206"/>
  <c r="AW206"/>
  <c r="AV206"/>
  <c r="AU206"/>
  <c r="AS206"/>
  <c r="AR206"/>
  <c r="AQ206"/>
  <c r="AO206"/>
  <c r="AN206"/>
  <c r="AM206"/>
  <c r="AK206"/>
  <c r="AJ206"/>
  <c r="AH206"/>
  <c r="AF206"/>
  <c r="AE206"/>
  <c r="AD206"/>
  <c r="AC206"/>
  <c r="AB206"/>
  <c r="AA206"/>
  <c r="Z206"/>
  <c r="Y206"/>
  <c r="X206"/>
  <c r="BL205"/>
  <c r="BK205"/>
  <c r="BI205"/>
  <c r="BH205"/>
  <c r="BG205"/>
  <c r="BE205"/>
  <c r="BD205"/>
  <c r="BC205"/>
  <c r="BA205"/>
  <c r="AZ205"/>
  <c r="AY205"/>
  <c r="AW205"/>
  <c r="AV205"/>
  <c r="AU205"/>
  <c r="AS205"/>
  <c r="AR205"/>
  <c r="AQ205"/>
  <c r="AO205"/>
  <c r="AN205"/>
  <c r="AM205"/>
  <c r="AK205"/>
  <c r="AJ205"/>
  <c r="AH205"/>
  <c r="AF205"/>
  <c r="AE205"/>
  <c r="AD205"/>
  <c r="AC205"/>
  <c r="AB205"/>
  <c r="AA205"/>
  <c r="Z205"/>
  <c r="Y205"/>
  <c r="X205"/>
  <c r="BL204"/>
  <c r="BK204"/>
  <c r="BI204"/>
  <c r="BH204"/>
  <c r="BG204"/>
  <c r="BE204"/>
  <c r="BD204"/>
  <c r="BC204"/>
  <c r="BA204"/>
  <c r="AZ204"/>
  <c r="AY204"/>
  <c r="AW204"/>
  <c r="AV204"/>
  <c r="AU204"/>
  <c r="AS204"/>
  <c r="AR204"/>
  <c r="AQ204"/>
  <c r="AO204"/>
  <c r="AN204"/>
  <c r="AM204"/>
  <c r="AK204"/>
  <c r="AJ204"/>
  <c r="AH204"/>
  <c r="AF204"/>
  <c r="AE204"/>
  <c r="AD204"/>
  <c r="AC204"/>
  <c r="AB204"/>
  <c r="AA204"/>
  <c r="Z204"/>
  <c r="Y204"/>
  <c r="X204"/>
  <c r="BL203"/>
  <c r="BK203"/>
  <c r="BI203"/>
  <c r="BH203"/>
  <c r="BG203"/>
  <c r="BE203"/>
  <c r="BD203"/>
  <c r="BC203"/>
  <c r="BA203"/>
  <c r="AZ203"/>
  <c r="AY203"/>
  <c r="AW203"/>
  <c r="AV203"/>
  <c r="AU203"/>
  <c r="AS203"/>
  <c r="AR203"/>
  <c r="AQ203"/>
  <c r="AO203"/>
  <c r="AN203"/>
  <c r="AM203"/>
  <c r="AK203"/>
  <c r="AJ203"/>
  <c r="AH203"/>
  <c r="AF203"/>
  <c r="AE203"/>
  <c r="AD203"/>
  <c r="AC203"/>
  <c r="AB203"/>
  <c r="AA203"/>
  <c r="Z203"/>
  <c r="Y203"/>
  <c r="X203"/>
  <c r="BL202"/>
  <c r="BK202"/>
  <c r="BI202"/>
  <c r="BH202"/>
  <c r="BG202"/>
  <c r="BE202"/>
  <c r="BD202"/>
  <c r="BC202"/>
  <c r="BA202"/>
  <c r="AZ202"/>
  <c r="AY202"/>
  <c r="AW202"/>
  <c r="AV202"/>
  <c r="AU202"/>
  <c r="AS202"/>
  <c r="AR202"/>
  <c r="AQ202"/>
  <c r="AO202"/>
  <c r="AN202"/>
  <c r="AM202"/>
  <c r="AK202"/>
  <c r="AJ202"/>
  <c r="AH202"/>
  <c r="AF202"/>
  <c r="AE202"/>
  <c r="AD202"/>
  <c r="AC202"/>
  <c r="AB202"/>
  <c r="AA202"/>
  <c r="Z202"/>
  <c r="Y202"/>
  <c r="X202"/>
  <c r="BL201"/>
  <c r="BK201"/>
  <c r="BI201"/>
  <c r="BH201"/>
  <c r="BG201"/>
  <c r="BE201"/>
  <c r="BD201"/>
  <c r="BC201"/>
  <c r="BA201"/>
  <c r="AZ201"/>
  <c r="AY201"/>
  <c r="AW201"/>
  <c r="AV201"/>
  <c r="AU201"/>
  <c r="AS201"/>
  <c r="AR201"/>
  <c r="AQ201"/>
  <c r="AO201"/>
  <c r="AN201"/>
  <c r="AM201"/>
  <c r="AK201"/>
  <c r="AJ201"/>
  <c r="AH201"/>
  <c r="AF201"/>
  <c r="AE201"/>
  <c r="AD201"/>
  <c r="AC201"/>
  <c r="AB201"/>
  <c r="AA201"/>
  <c r="Z201"/>
  <c r="Y201"/>
  <c r="X201"/>
  <c r="BL200"/>
  <c r="BK200"/>
  <c r="BI200"/>
  <c r="BH200"/>
  <c r="BG200"/>
  <c r="BE200"/>
  <c r="BD200"/>
  <c r="BC200"/>
  <c r="BA200"/>
  <c r="AZ200"/>
  <c r="AY200"/>
  <c r="AW200"/>
  <c r="AV200"/>
  <c r="AU200"/>
  <c r="AS200"/>
  <c r="AR200"/>
  <c r="AQ200"/>
  <c r="AO200"/>
  <c r="AN200"/>
  <c r="AM200"/>
  <c r="AK200"/>
  <c r="AJ200"/>
  <c r="AH200"/>
  <c r="AF200"/>
  <c r="AE200"/>
  <c r="AD200"/>
  <c r="AC200"/>
  <c r="AB200"/>
  <c r="AA200"/>
  <c r="Z200"/>
  <c r="Y200"/>
  <c r="X200"/>
  <c r="BL199"/>
  <c r="BK199"/>
  <c r="BI199"/>
  <c r="BH199"/>
  <c r="BG199"/>
  <c r="BE199"/>
  <c r="BD199"/>
  <c r="BC199"/>
  <c r="BA199"/>
  <c r="AZ199"/>
  <c r="AY199"/>
  <c r="AW199"/>
  <c r="AV199"/>
  <c r="AU199"/>
  <c r="AS199"/>
  <c r="AR199"/>
  <c r="AQ199"/>
  <c r="AO199"/>
  <c r="AN199"/>
  <c r="AM199"/>
  <c r="AK199"/>
  <c r="AJ199"/>
  <c r="AH199"/>
  <c r="AF199"/>
  <c r="AE199"/>
  <c r="AD199"/>
  <c r="AC199"/>
  <c r="AB199"/>
  <c r="AA199"/>
  <c r="Z199"/>
  <c r="Y199"/>
  <c r="X199"/>
  <c r="BL198"/>
  <c r="BK198"/>
  <c r="BI198"/>
  <c r="BH198"/>
  <c r="BG198"/>
  <c r="BE198"/>
  <c r="BD198"/>
  <c r="BC198"/>
  <c r="BA198"/>
  <c r="AZ198"/>
  <c r="AY198"/>
  <c r="AW198"/>
  <c r="AV198"/>
  <c r="AU198"/>
  <c r="AS198"/>
  <c r="AR198"/>
  <c r="AQ198"/>
  <c r="AO198"/>
  <c r="AN198"/>
  <c r="AM198"/>
  <c r="AK198"/>
  <c r="AJ198"/>
  <c r="AH198"/>
  <c r="AF198"/>
  <c r="AE198"/>
  <c r="AD198"/>
  <c r="AC198"/>
  <c r="AB198"/>
  <c r="AA198"/>
  <c r="Z198"/>
  <c r="Y198"/>
  <c r="X198"/>
  <c r="BL197"/>
  <c r="BK197"/>
  <c r="BI197"/>
  <c r="BH197"/>
  <c r="BG197"/>
  <c r="BE197"/>
  <c r="BD197"/>
  <c r="BC197"/>
  <c r="BA197"/>
  <c r="AZ197"/>
  <c r="AY197"/>
  <c r="AW197"/>
  <c r="AV197"/>
  <c r="AU197"/>
  <c r="AS197"/>
  <c r="AR197"/>
  <c r="AQ197"/>
  <c r="AO197"/>
  <c r="AN197"/>
  <c r="AM197"/>
  <c r="AK197"/>
  <c r="AJ197"/>
  <c r="AH197"/>
  <c r="AF197"/>
  <c r="AE197"/>
  <c r="AD197"/>
  <c r="AC197"/>
  <c r="AB197"/>
  <c r="AA197"/>
  <c r="Z197"/>
  <c r="Y197"/>
  <c r="X197"/>
  <c r="BL196"/>
  <c r="BK196"/>
  <c r="BI196"/>
  <c r="BH196"/>
  <c r="BG196"/>
  <c r="BE196"/>
  <c r="BD196"/>
  <c r="BC196"/>
  <c r="BA196"/>
  <c r="AZ196"/>
  <c r="AY196"/>
  <c r="AW196"/>
  <c r="AV196"/>
  <c r="AU196"/>
  <c r="AS196"/>
  <c r="AR196"/>
  <c r="AQ196"/>
  <c r="AO196"/>
  <c r="AN196"/>
  <c r="AM196"/>
  <c r="AK196"/>
  <c r="AJ196"/>
  <c r="AH196"/>
  <c r="AF196"/>
  <c r="AE196"/>
  <c r="AD196"/>
  <c r="AC196"/>
  <c r="AB196"/>
  <c r="AA196"/>
  <c r="Z196"/>
  <c r="Y196"/>
  <c r="X196"/>
  <c r="BL195"/>
  <c r="BK195"/>
  <c r="BI195"/>
  <c r="BH195"/>
  <c r="BG195"/>
  <c r="BE195"/>
  <c r="BD195"/>
  <c r="BC195"/>
  <c r="BA195"/>
  <c r="AZ195"/>
  <c r="AY195"/>
  <c r="AW195"/>
  <c r="AV195"/>
  <c r="AU195"/>
  <c r="AS195"/>
  <c r="AR195"/>
  <c r="AQ195"/>
  <c r="AO195"/>
  <c r="AN195"/>
  <c r="AM195"/>
  <c r="AK195"/>
  <c r="AJ195"/>
  <c r="AH195"/>
  <c r="AF195"/>
  <c r="AE195"/>
  <c r="AD195"/>
  <c r="AC195"/>
  <c r="AB195"/>
  <c r="AA195"/>
  <c r="Z195"/>
  <c r="Y195"/>
  <c r="X195"/>
  <c r="BL194"/>
  <c r="BK194"/>
  <c r="BI194"/>
  <c r="BH194"/>
  <c r="BG194"/>
  <c r="BE194"/>
  <c r="BD194"/>
  <c r="BC194"/>
  <c r="BA194"/>
  <c r="AZ194"/>
  <c r="AY194"/>
  <c r="AW194"/>
  <c r="AV194"/>
  <c r="AU194"/>
  <c r="AS194"/>
  <c r="AR194"/>
  <c r="AQ194"/>
  <c r="AO194"/>
  <c r="AN194"/>
  <c r="AM194"/>
  <c r="AK194"/>
  <c r="AJ194"/>
  <c r="AH194"/>
  <c r="AF194"/>
  <c r="AE194"/>
  <c r="AD194"/>
  <c r="AC194"/>
  <c r="AB194"/>
  <c r="AA194"/>
  <c r="Z194"/>
  <c r="Y194"/>
  <c r="X194"/>
  <c r="BL193"/>
  <c r="BK193"/>
  <c r="BI193"/>
  <c r="BH193"/>
  <c r="BG193"/>
  <c r="BE193"/>
  <c r="BD193"/>
  <c r="BC193"/>
  <c r="BA193"/>
  <c r="AZ193"/>
  <c r="AY193"/>
  <c r="AW193"/>
  <c r="AV193"/>
  <c r="AU193"/>
  <c r="AS193"/>
  <c r="AR193"/>
  <c r="AQ193"/>
  <c r="AO193"/>
  <c r="AN193"/>
  <c r="AM193"/>
  <c r="AK193"/>
  <c r="AJ193"/>
  <c r="AH193"/>
  <c r="AF193"/>
  <c r="AE193"/>
  <c r="AD193"/>
  <c r="AC193"/>
  <c r="AB193"/>
  <c r="AA193"/>
  <c r="Z193"/>
  <c r="Y193"/>
  <c r="X193"/>
  <c r="BL192"/>
  <c r="BK192"/>
  <c r="BI192"/>
  <c r="BH192"/>
  <c r="BG192"/>
  <c r="BE192"/>
  <c r="BD192"/>
  <c r="BC192"/>
  <c r="BA192"/>
  <c r="AZ192"/>
  <c r="AY192"/>
  <c r="AW192"/>
  <c r="AV192"/>
  <c r="AU192"/>
  <c r="AS192"/>
  <c r="AR192"/>
  <c r="AQ192"/>
  <c r="AO192"/>
  <c r="AN192"/>
  <c r="AM192"/>
  <c r="AK192"/>
  <c r="AJ192"/>
  <c r="AH192"/>
  <c r="AF192"/>
  <c r="AE192"/>
  <c r="AD192"/>
  <c r="AC192"/>
  <c r="AB192"/>
  <c r="AA192"/>
  <c r="Z192"/>
  <c r="Y192"/>
  <c r="X192"/>
  <c r="BL191"/>
  <c r="BK191"/>
  <c r="BI191"/>
  <c r="BH191"/>
  <c r="BG191"/>
  <c r="BE191"/>
  <c r="BD191"/>
  <c r="BC191"/>
  <c r="BA191"/>
  <c r="AZ191"/>
  <c r="AY191"/>
  <c r="AW191"/>
  <c r="AV191"/>
  <c r="AU191"/>
  <c r="AS191"/>
  <c r="AR191"/>
  <c r="AQ191"/>
  <c r="AO191"/>
  <c r="AN191"/>
  <c r="AM191"/>
  <c r="AK191"/>
  <c r="AJ191"/>
  <c r="AH191"/>
  <c r="AF191"/>
  <c r="AE191"/>
  <c r="AD191"/>
  <c r="AC191"/>
  <c r="AB191"/>
  <c r="AA191"/>
  <c r="Z191"/>
  <c r="Y191"/>
  <c r="X191"/>
  <c r="BL190"/>
  <c r="BK190"/>
  <c r="BI190"/>
  <c r="BH190"/>
  <c r="BG190"/>
  <c r="BE190"/>
  <c r="BD190"/>
  <c r="BC190"/>
  <c r="BA190"/>
  <c r="AZ190"/>
  <c r="AY190"/>
  <c r="AW190"/>
  <c r="AV190"/>
  <c r="AU190"/>
  <c r="AS190"/>
  <c r="AR190"/>
  <c r="AQ190"/>
  <c r="AO190"/>
  <c r="AN190"/>
  <c r="AM190"/>
  <c r="AK190"/>
  <c r="AJ190"/>
  <c r="AH190"/>
  <c r="AF190"/>
  <c r="AE190"/>
  <c r="AD190"/>
  <c r="AC190"/>
  <c r="AB190"/>
  <c r="AA190"/>
  <c r="Z190"/>
  <c r="Y190"/>
  <c r="X190"/>
  <c r="BL189"/>
  <c r="BK189"/>
  <c r="BI189"/>
  <c r="BH189"/>
  <c r="BG189"/>
  <c r="BE189"/>
  <c r="BD189"/>
  <c r="BC189"/>
  <c r="BA189"/>
  <c r="AZ189"/>
  <c r="AY189"/>
  <c r="AW189"/>
  <c r="AV189"/>
  <c r="AU189"/>
  <c r="AS189"/>
  <c r="AR189"/>
  <c r="AQ189"/>
  <c r="AO189"/>
  <c r="AN189"/>
  <c r="AM189"/>
  <c r="AK189"/>
  <c r="AJ189"/>
  <c r="AH189"/>
  <c r="AF189"/>
  <c r="AE189"/>
  <c r="AD189"/>
  <c r="AC189"/>
  <c r="AB189"/>
  <c r="AA189"/>
  <c r="Z189"/>
  <c r="Y189"/>
  <c r="X189"/>
  <c r="BL188"/>
  <c r="BK188"/>
  <c r="BI188"/>
  <c r="BH188"/>
  <c r="BG188"/>
  <c r="BE188"/>
  <c r="BD188"/>
  <c r="BC188"/>
  <c r="BA188"/>
  <c r="AZ188"/>
  <c r="AY188"/>
  <c r="AW188"/>
  <c r="AV188"/>
  <c r="AU188"/>
  <c r="AS188"/>
  <c r="AR188"/>
  <c r="AQ188"/>
  <c r="AO188"/>
  <c r="AN188"/>
  <c r="AM188"/>
  <c r="AK188"/>
  <c r="AJ188"/>
  <c r="AH188"/>
  <c r="AF188"/>
  <c r="AE188"/>
  <c r="AD188"/>
  <c r="AC188"/>
  <c r="AB188"/>
  <c r="AA188"/>
  <c r="Z188"/>
  <c r="Y188"/>
  <c r="X188"/>
  <c r="BL187"/>
  <c r="BK187"/>
  <c r="BI187"/>
  <c r="BH187"/>
  <c r="BG187"/>
  <c r="BE187"/>
  <c r="BD187"/>
  <c r="BC187"/>
  <c r="BA187"/>
  <c r="AZ187"/>
  <c r="AY187"/>
  <c r="AW187"/>
  <c r="AV187"/>
  <c r="AU187"/>
  <c r="AS187"/>
  <c r="AR187"/>
  <c r="AQ187"/>
  <c r="AO187"/>
  <c r="AN187"/>
  <c r="AM187"/>
  <c r="AK187"/>
  <c r="AJ187"/>
  <c r="AH187"/>
  <c r="AF187"/>
  <c r="AE187"/>
  <c r="AD187"/>
  <c r="AC187"/>
  <c r="AB187"/>
  <c r="AA187"/>
  <c r="Z187"/>
  <c r="Y187"/>
  <c r="X187"/>
  <c r="BL186"/>
  <c r="BK186"/>
  <c r="BI186"/>
  <c r="BH186"/>
  <c r="BG186"/>
  <c r="BE186"/>
  <c r="BD186"/>
  <c r="BC186"/>
  <c r="BA186"/>
  <c r="AZ186"/>
  <c r="AY186"/>
  <c r="AW186"/>
  <c r="AV186"/>
  <c r="AU186"/>
  <c r="AS186"/>
  <c r="AR186"/>
  <c r="AQ186"/>
  <c r="AO186"/>
  <c r="AN186"/>
  <c r="AM186"/>
  <c r="AK186"/>
  <c r="AJ186"/>
  <c r="AH186"/>
  <c r="AF186"/>
  <c r="AE186"/>
  <c r="AD186"/>
  <c r="AC186"/>
  <c r="AB186"/>
  <c r="AA186"/>
  <c r="Z186"/>
  <c r="Y186"/>
  <c r="X186"/>
  <c r="BL185"/>
  <c r="BK185"/>
  <c r="BI185"/>
  <c r="BH185"/>
  <c r="BG185"/>
  <c r="BE185"/>
  <c r="BD185"/>
  <c r="BC185"/>
  <c r="BA185"/>
  <c r="AZ185"/>
  <c r="AY185"/>
  <c r="AW185"/>
  <c r="AV185"/>
  <c r="AU185"/>
  <c r="AS185"/>
  <c r="AR185"/>
  <c r="AQ185"/>
  <c r="AO185"/>
  <c r="AN185"/>
  <c r="AM185"/>
  <c r="AK185"/>
  <c r="AJ185"/>
  <c r="AH185"/>
  <c r="AF185"/>
  <c r="AE185"/>
  <c r="AD185"/>
  <c r="AC185"/>
  <c r="AB185"/>
  <c r="AA185"/>
  <c r="Z185"/>
  <c r="Y185"/>
  <c r="X185"/>
  <c r="BL184"/>
  <c r="BK184"/>
  <c r="BI184"/>
  <c r="BH184"/>
  <c r="BG184"/>
  <c r="BE184"/>
  <c r="BD184"/>
  <c r="BC184"/>
  <c r="BA184"/>
  <c r="AZ184"/>
  <c r="AY184"/>
  <c r="AW184"/>
  <c r="AV184"/>
  <c r="AU184"/>
  <c r="AS184"/>
  <c r="AR184"/>
  <c r="AQ184"/>
  <c r="AO184"/>
  <c r="AN184"/>
  <c r="AM184"/>
  <c r="AK184"/>
  <c r="AJ184"/>
  <c r="AH184"/>
  <c r="AF184"/>
  <c r="AE184"/>
  <c r="AD184"/>
  <c r="AC184"/>
  <c r="AB184"/>
  <c r="AA184"/>
  <c r="Z184"/>
  <c r="Y184"/>
  <c r="X184"/>
  <c r="BL183"/>
  <c r="BK183"/>
  <c r="BI183"/>
  <c r="BH183"/>
  <c r="BG183"/>
  <c r="BE183"/>
  <c r="BD183"/>
  <c r="BC183"/>
  <c r="BA183"/>
  <c r="AZ183"/>
  <c r="AY183"/>
  <c r="AW183"/>
  <c r="AV183"/>
  <c r="AU183"/>
  <c r="AS183"/>
  <c r="AR183"/>
  <c r="AQ183"/>
  <c r="AO183"/>
  <c r="AN183"/>
  <c r="AM183"/>
  <c r="AK183"/>
  <c r="AJ183"/>
  <c r="AH183"/>
  <c r="AF183"/>
  <c r="AE183"/>
  <c r="AD183"/>
  <c r="AC183"/>
  <c r="AB183"/>
  <c r="AA183"/>
  <c r="Z183"/>
  <c r="Y183"/>
  <c r="X183"/>
  <c r="BL182"/>
  <c r="BK182"/>
  <c r="BI182"/>
  <c r="BH182"/>
  <c r="BG182"/>
  <c r="BE182"/>
  <c r="BD182"/>
  <c r="BC182"/>
  <c r="BA182"/>
  <c r="AZ182"/>
  <c r="AY182"/>
  <c r="AW182"/>
  <c r="AV182"/>
  <c r="AU182"/>
  <c r="AS182"/>
  <c r="AR182"/>
  <c r="AQ182"/>
  <c r="AO182"/>
  <c r="AN182"/>
  <c r="AM182"/>
  <c r="AK182"/>
  <c r="AJ182"/>
  <c r="AH182"/>
  <c r="AF182"/>
  <c r="AE182"/>
  <c r="AD182"/>
  <c r="AC182"/>
  <c r="AB182"/>
  <c r="AA182"/>
  <c r="Z182"/>
  <c r="Y182"/>
  <c r="X182"/>
  <c r="BL181"/>
  <c r="BK181"/>
  <c r="BI181"/>
  <c r="BH181"/>
  <c r="BG181"/>
  <c r="BE181"/>
  <c r="BD181"/>
  <c r="BC181"/>
  <c r="BA181"/>
  <c r="AZ181"/>
  <c r="AY181"/>
  <c r="AW181"/>
  <c r="AV181"/>
  <c r="AU181"/>
  <c r="AS181"/>
  <c r="AR181"/>
  <c r="AQ181"/>
  <c r="AO181"/>
  <c r="AN181"/>
  <c r="AM181"/>
  <c r="AK181"/>
  <c r="AJ181"/>
  <c r="AH181"/>
  <c r="AF181"/>
  <c r="AE181"/>
  <c r="AD181"/>
  <c r="AC181"/>
  <c r="AB181"/>
  <c r="AA181"/>
  <c r="Z181"/>
  <c r="Y181"/>
  <c r="X181"/>
  <c r="BL180"/>
  <c r="BK180"/>
  <c r="BI180"/>
  <c r="BH180"/>
  <c r="BG180"/>
  <c r="BE180"/>
  <c r="BD180"/>
  <c r="BC180"/>
  <c r="BA180"/>
  <c r="AZ180"/>
  <c r="AY180"/>
  <c r="AW180"/>
  <c r="AV180"/>
  <c r="AU180"/>
  <c r="AS180"/>
  <c r="AR180"/>
  <c r="AQ180"/>
  <c r="AO180"/>
  <c r="AN180"/>
  <c r="AM180"/>
  <c r="AK180"/>
  <c r="AJ180"/>
  <c r="AH180"/>
  <c r="AF180"/>
  <c r="AE180"/>
  <c r="AD180"/>
  <c r="AC180"/>
  <c r="AB180"/>
  <c r="AA180"/>
  <c r="Z180"/>
  <c r="Y180"/>
  <c r="X180"/>
  <c r="BL179"/>
  <c r="BK179"/>
  <c r="BI179"/>
  <c r="BH179"/>
  <c r="BG179"/>
  <c r="BE179"/>
  <c r="BD179"/>
  <c r="BC179"/>
  <c r="BA179"/>
  <c r="AZ179"/>
  <c r="AY179"/>
  <c r="AW179"/>
  <c r="AV179"/>
  <c r="AU179"/>
  <c r="AS179"/>
  <c r="AR179"/>
  <c r="AQ179"/>
  <c r="AO179"/>
  <c r="AN179"/>
  <c r="AM179"/>
  <c r="AK179"/>
  <c r="AJ179"/>
  <c r="AH179"/>
  <c r="AF179"/>
  <c r="AE179"/>
  <c r="AD179"/>
  <c r="AC179"/>
  <c r="AB179"/>
  <c r="AA179"/>
  <c r="Z179"/>
  <c r="Y179"/>
  <c r="X179"/>
  <c r="BL178"/>
  <c r="BK178"/>
  <c r="BI178"/>
  <c r="BH178"/>
  <c r="BG178"/>
  <c r="BE178"/>
  <c r="BD178"/>
  <c r="BC178"/>
  <c r="BA178"/>
  <c r="AZ178"/>
  <c r="AY178"/>
  <c r="AW178"/>
  <c r="AV178"/>
  <c r="AU178"/>
  <c r="AS178"/>
  <c r="AR178"/>
  <c r="AQ178"/>
  <c r="AO178"/>
  <c r="AN178"/>
  <c r="AM178"/>
  <c r="AK178"/>
  <c r="AJ178"/>
  <c r="AH178"/>
  <c r="AF178"/>
  <c r="AE178"/>
  <c r="AD178"/>
  <c r="AC178"/>
  <c r="AB178"/>
  <c r="AA178"/>
  <c r="Z178"/>
  <c r="Y178"/>
  <c r="X178"/>
  <c r="BL177"/>
  <c r="BK177"/>
  <c r="BI177"/>
  <c r="BH177"/>
  <c r="BG177"/>
  <c r="BE177"/>
  <c r="BD177"/>
  <c r="BC177"/>
  <c r="BA177"/>
  <c r="AZ177"/>
  <c r="AY177"/>
  <c r="AW177"/>
  <c r="AV177"/>
  <c r="AU177"/>
  <c r="AS177"/>
  <c r="AR177"/>
  <c r="AQ177"/>
  <c r="AO177"/>
  <c r="AN177"/>
  <c r="AM177"/>
  <c r="AK177"/>
  <c r="AJ177"/>
  <c r="AH177"/>
  <c r="AF177"/>
  <c r="AE177"/>
  <c r="AD177"/>
  <c r="AC177"/>
  <c r="AB177"/>
  <c r="AA177"/>
  <c r="Z177"/>
  <c r="Y177"/>
  <c r="X177"/>
  <c r="BL176"/>
  <c r="BK176"/>
  <c r="BI176"/>
  <c r="BH176"/>
  <c r="BG176"/>
  <c r="BE176"/>
  <c r="BD176"/>
  <c r="BC176"/>
  <c r="BA176"/>
  <c r="AZ176"/>
  <c r="AY176"/>
  <c r="AW176"/>
  <c r="AV176"/>
  <c r="AU176"/>
  <c r="AS176"/>
  <c r="AR176"/>
  <c r="AQ176"/>
  <c r="AO176"/>
  <c r="AN176"/>
  <c r="AM176"/>
  <c r="AK176"/>
  <c r="AJ176"/>
  <c r="AH176"/>
  <c r="AF176"/>
  <c r="AE176"/>
  <c r="AD176"/>
  <c r="AC176"/>
  <c r="AB176"/>
  <c r="AA176"/>
  <c r="Z176"/>
  <c r="Y176"/>
  <c r="X176"/>
  <c r="BL175"/>
  <c r="BK175"/>
  <c r="BI175"/>
  <c r="BH175"/>
  <c r="BG175"/>
  <c r="BE175"/>
  <c r="BD175"/>
  <c r="BC175"/>
  <c r="BA175"/>
  <c r="AZ175"/>
  <c r="AY175"/>
  <c r="AW175"/>
  <c r="AV175"/>
  <c r="AU175"/>
  <c r="AS175"/>
  <c r="AR175"/>
  <c r="AQ175"/>
  <c r="AO175"/>
  <c r="AN175"/>
  <c r="AM175"/>
  <c r="AK175"/>
  <c r="AJ175"/>
  <c r="AH175"/>
  <c r="AF175"/>
  <c r="AE175"/>
  <c r="AD175"/>
  <c r="AC175"/>
  <c r="AB175"/>
  <c r="AA175"/>
  <c r="Z175"/>
  <c r="Y175"/>
  <c r="X175"/>
  <c r="BL174"/>
  <c r="BK174"/>
  <c r="BI174"/>
  <c r="BH174"/>
  <c r="BG174"/>
  <c r="BE174"/>
  <c r="BD174"/>
  <c r="BC174"/>
  <c r="BA174"/>
  <c r="AZ174"/>
  <c r="AY174"/>
  <c r="AW174"/>
  <c r="AV174"/>
  <c r="AU174"/>
  <c r="AS174"/>
  <c r="AR174"/>
  <c r="AQ174"/>
  <c r="AO174"/>
  <c r="AN174"/>
  <c r="AM174"/>
  <c r="AK174"/>
  <c r="AJ174"/>
  <c r="AH174"/>
  <c r="AF174"/>
  <c r="AE174"/>
  <c r="AD174"/>
  <c r="AC174"/>
  <c r="AB174"/>
  <c r="AA174"/>
  <c r="Z174"/>
  <c r="Y174"/>
  <c r="X174"/>
  <c r="BL173"/>
  <c r="BK173"/>
  <c r="BI173"/>
  <c r="BH173"/>
  <c r="BG173"/>
  <c r="BE173"/>
  <c r="BD173"/>
  <c r="BC173"/>
  <c r="BA173"/>
  <c r="AZ173"/>
  <c r="AY173"/>
  <c r="AW173"/>
  <c r="AV173"/>
  <c r="AU173"/>
  <c r="AS173"/>
  <c r="AR173"/>
  <c r="AQ173"/>
  <c r="AO173"/>
  <c r="AN173"/>
  <c r="AM173"/>
  <c r="AK173"/>
  <c r="AJ173"/>
  <c r="AH173"/>
  <c r="AF173"/>
  <c r="AE173"/>
  <c r="AD173"/>
  <c r="AC173"/>
  <c r="AB173"/>
  <c r="AA173"/>
  <c r="Z173"/>
  <c r="Y173"/>
  <c r="X173"/>
  <c r="BL172"/>
  <c r="BK172"/>
  <c r="BI172"/>
  <c r="BH172"/>
  <c r="BG172"/>
  <c r="BE172"/>
  <c r="BD172"/>
  <c r="BC172"/>
  <c r="BA172"/>
  <c r="AZ172"/>
  <c r="AY172"/>
  <c r="AW172"/>
  <c r="AV172"/>
  <c r="AU172"/>
  <c r="AS172"/>
  <c r="AR172"/>
  <c r="AQ172"/>
  <c r="AO172"/>
  <c r="AN172"/>
  <c r="AM172"/>
  <c r="AK172"/>
  <c r="AJ172"/>
  <c r="AH172"/>
  <c r="AF172"/>
  <c r="AE172"/>
  <c r="AD172"/>
  <c r="AC172"/>
  <c r="AB172"/>
  <c r="AA172"/>
  <c r="Z172"/>
  <c r="Y172"/>
  <c r="X172"/>
  <c r="BL171"/>
  <c r="BK171"/>
  <c r="BI171"/>
  <c r="BH171"/>
  <c r="BG171"/>
  <c r="BE171"/>
  <c r="BD171"/>
  <c r="BC171"/>
  <c r="BA171"/>
  <c r="AZ171"/>
  <c r="AY171"/>
  <c r="AW171"/>
  <c r="AV171"/>
  <c r="AU171"/>
  <c r="AS171"/>
  <c r="AR171"/>
  <c r="AQ171"/>
  <c r="AO171"/>
  <c r="AN171"/>
  <c r="AM171"/>
  <c r="AK171"/>
  <c r="AJ171"/>
  <c r="AH171"/>
  <c r="AF171"/>
  <c r="AE171"/>
  <c r="AD171"/>
  <c r="AC171"/>
  <c r="AB171"/>
  <c r="AA171"/>
  <c r="Z171"/>
  <c r="Y171"/>
  <c r="X171"/>
  <c r="BL170"/>
  <c r="BK170"/>
  <c r="BI170"/>
  <c r="BH170"/>
  <c r="BG170"/>
  <c r="BE170"/>
  <c r="BD170"/>
  <c r="BC170"/>
  <c r="BA170"/>
  <c r="AZ170"/>
  <c r="AY170"/>
  <c r="AW170"/>
  <c r="AV170"/>
  <c r="AU170"/>
  <c r="AS170"/>
  <c r="AR170"/>
  <c r="AQ170"/>
  <c r="AO170"/>
  <c r="AN170"/>
  <c r="AM170"/>
  <c r="AK170"/>
  <c r="AJ170"/>
  <c r="AH170"/>
  <c r="AF170"/>
  <c r="AE170"/>
  <c r="AD170"/>
  <c r="AC170"/>
  <c r="AB170"/>
  <c r="AA170"/>
  <c r="Z170"/>
  <c r="Y170"/>
  <c r="X170"/>
  <c r="BL169"/>
  <c r="BK169"/>
  <c r="BI169"/>
  <c r="BH169"/>
  <c r="BG169"/>
  <c r="BE169"/>
  <c r="BD169"/>
  <c r="BC169"/>
  <c r="BA169"/>
  <c r="AZ169"/>
  <c r="AY169"/>
  <c r="AW169"/>
  <c r="AV169"/>
  <c r="AU169"/>
  <c r="AS169"/>
  <c r="AR169"/>
  <c r="AQ169"/>
  <c r="AO169"/>
  <c r="AN169"/>
  <c r="AM169"/>
  <c r="AK169"/>
  <c r="AJ169"/>
  <c r="AH169"/>
  <c r="AF169"/>
  <c r="AE169"/>
  <c r="AD169"/>
  <c r="AC169"/>
  <c r="AB169"/>
  <c r="AA169"/>
  <c r="Z169"/>
  <c r="Y169"/>
  <c r="X169"/>
  <c r="BL168"/>
  <c r="BK168"/>
  <c r="BI168"/>
  <c r="BH168"/>
  <c r="BG168"/>
  <c r="BE168"/>
  <c r="BD168"/>
  <c r="BC168"/>
  <c r="BA168"/>
  <c r="AZ168"/>
  <c r="AY168"/>
  <c r="AW168"/>
  <c r="AV168"/>
  <c r="AU168"/>
  <c r="AS168"/>
  <c r="AR168"/>
  <c r="AQ168"/>
  <c r="AO168"/>
  <c r="AN168"/>
  <c r="AM168"/>
  <c r="AK168"/>
  <c r="AJ168"/>
  <c r="AH168"/>
  <c r="AF168"/>
  <c r="AE168"/>
  <c r="AD168"/>
  <c r="AC168"/>
  <c r="AB168"/>
  <c r="AA168"/>
  <c r="Z168"/>
  <c r="Y168"/>
  <c r="X168"/>
  <c r="BL167"/>
  <c r="BK167"/>
  <c r="BI167"/>
  <c r="BH167"/>
  <c r="BG167"/>
  <c r="BE167"/>
  <c r="BD167"/>
  <c r="BC167"/>
  <c r="BA167"/>
  <c r="AZ167"/>
  <c r="AY167"/>
  <c r="AW167"/>
  <c r="AV167"/>
  <c r="AU167"/>
  <c r="AS167"/>
  <c r="AR167"/>
  <c r="AQ167"/>
  <c r="AO167"/>
  <c r="AN167"/>
  <c r="AM167"/>
  <c r="AK167"/>
  <c r="AJ167"/>
  <c r="AH167"/>
  <c r="AF167"/>
  <c r="AE167"/>
  <c r="AD167"/>
  <c r="AC167"/>
  <c r="AB167"/>
  <c r="AA167"/>
  <c r="Z167"/>
  <c r="Y167"/>
  <c r="X167"/>
  <c r="BL166"/>
  <c r="BK166"/>
  <c r="BI166"/>
  <c r="BH166"/>
  <c r="BG166"/>
  <c r="BE166"/>
  <c r="BD166"/>
  <c r="BC166"/>
  <c r="BA166"/>
  <c r="AZ166"/>
  <c r="AY166"/>
  <c r="AW166"/>
  <c r="AV166"/>
  <c r="AU166"/>
  <c r="AS166"/>
  <c r="AR166"/>
  <c r="AQ166"/>
  <c r="AO166"/>
  <c r="AN166"/>
  <c r="AM166"/>
  <c r="AK166"/>
  <c r="AJ166"/>
  <c r="AH166"/>
  <c r="AF166"/>
  <c r="AE166"/>
  <c r="AD166"/>
  <c r="AC166"/>
  <c r="AB166"/>
  <c r="AA166"/>
  <c r="Z166"/>
  <c r="Y166"/>
  <c r="X166"/>
  <c r="BL165"/>
  <c r="BK165"/>
  <c r="BI165"/>
  <c r="BH165"/>
  <c r="BG165"/>
  <c r="BE165"/>
  <c r="BD165"/>
  <c r="BC165"/>
  <c r="BA165"/>
  <c r="AZ165"/>
  <c r="AY165"/>
  <c r="AW165"/>
  <c r="AV165"/>
  <c r="AU165"/>
  <c r="AS165"/>
  <c r="AR165"/>
  <c r="AQ165"/>
  <c r="AO165"/>
  <c r="AN165"/>
  <c r="AM165"/>
  <c r="AK165"/>
  <c r="AJ165"/>
  <c r="AH165"/>
  <c r="AF165"/>
  <c r="AE165"/>
  <c r="AD165"/>
  <c r="AC165"/>
  <c r="AB165"/>
  <c r="AA165"/>
  <c r="Z165"/>
  <c r="Y165"/>
  <c r="X165"/>
  <c r="BL164"/>
  <c r="BK164"/>
  <c r="BI164"/>
  <c r="BH164"/>
  <c r="BG164"/>
  <c r="BE164"/>
  <c r="BD164"/>
  <c r="BC164"/>
  <c r="BA164"/>
  <c r="AZ164"/>
  <c r="AY164"/>
  <c r="AW164"/>
  <c r="AV164"/>
  <c r="AU164"/>
  <c r="AS164"/>
  <c r="AR164"/>
  <c r="AQ164"/>
  <c r="AO164"/>
  <c r="AN164"/>
  <c r="AM164"/>
  <c r="AK164"/>
  <c r="AJ164"/>
  <c r="AH164"/>
  <c r="AF164"/>
  <c r="AE164"/>
  <c r="AD164"/>
  <c r="AC164"/>
  <c r="AB164"/>
  <c r="AA164"/>
  <c r="Z164"/>
  <c r="Y164"/>
  <c r="X164"/>
  <c r="BL163"/>
  <c r="BK163"/>
  <c r="BI163"/>
  <c r="BH163"/>
  <c r="BG163"/>
  <c r="BE163"/>
  <c r="BD163"/>
  <c r="BC163"/>
  <c r="BA163"/>
  <c r="AZ163"/>
  <c r="AY163"/>
  <c r="AW163"/>
  <c r="AV163"/>
  <c r="AU163"/>
  <c r="AS163"/>
  <c r="AR163"/>
  <c r="AQ163"/>
  <c r="AO163"/>
  <c r="AN163"/>
  <c r="AM163"/>
  <c r="AK163"/>
  <c r="AJ163"/>
  <c r="AH163"/>
  <c r="AF163"/>
  <c r="AE163"/>
  <c r="AD163"/>
  <c r="AC163"/>
  <c r="AB163"/>
  <c r="AA163"/>
  <c r="Z163"/>
  <c r="Y163"/>
  <c r="X163"/>
  <c r="BL162"/>
  <c r="BK162"/>
  <c r="BI162"/>
  <c r="BH162"/>
  <c r="BG162"/>
  <c r="BE162"/>
  <c r="BD162"/>
  <c r="BC162"/>
  <c r="BA162"/>
  <c r="AZ162"/>
  <c r="AY162"/>
  <c r="AW162"/>
  <c r="AV162"/>
  <c r="AU162"/>
  <c r="AS162"/>
  <c r="AR162"/>
  <c r="AQ162"/>
  <c r="AO162"/>
  <c r="AN162"/>
  <c r="AM162"/>
  <c r="AK162"/>
  <c r="AJ162"/>
  <c r="AH162"/>
  <c r="AF162"/>
  <c r="AE162"/>
  <c r="AD162"/>
  <c r="AC162"/>
  <c r="AB162"/>
  <c r="AA162"/>
  <c r="Z162"/>
  <c r="Y162"/>
  <c r="X162"/>
  <c r="BL161"/>
  <c r="BK161"/>
  <c r="BI161"/>
  <c r="BH161"/>
  <c r="BG161"/>
  <c r="BE161"/>
  <c r="BD161"/>
  <c r="BC161"/>
  <c r="BA161"/>
  <c r="AZ161"/>
  <c r="AY161"/>
  <c r="AW161"/>
  <c r="AV161"/>
  <c r="AU161"/>
  <c r="AS161"/>
  <c r="AR161"/>
  <c r="AQ161"/>
  <c r="AO161"/>
  <c r="AN161"/>
  <c r="AM161"/>
  <c r="AK161"/>
  <c r="AJ161"/>
  <c r="AH161"/>
  <c r="AF161"/>
  <c r="AE161"/>
  <c r="AD161"/>
  <c r="AC161"/>
  <c r="AB161"/>
  <c r="AA161"/>
  <c r="Z161"/>
  <c r="Y161"/>
  <c r="X161"/>
  <c r="BL160"/>
  <c r="BK160"/>
  <c r="BI160"/>
  <c r="BH160"/>
  <c r="BG160"/>
  <c r="BE160"/>
  <c r="BD160"/>
  <c r="BC160"/>
  <c r="BA160"/>
  <c r="AZ160"/>
  <c r="AY160"/>
  <c r="AW160"/>
  <c r="AV160"/>
  <c r="AU160"/>
  <c r="AS160"/>
  <c r="AR160"/>
  <c r="AQ160"/>
  <c r="AO160"/>
  <c r="AN160"/>
  <c r="AM160"/>
  <c r="AK160"/>
  <c r="AJ160"/>
  <c r="AH160"/>
  <c r="AF160"/>
  <c r="AE160"/>
  <c r="AD160"/>
  <c r="AC160"/>
  <c r="AB160"/>
  <c r="AA160"/>
  <c r="Z160"/>
  <c r="Y160"/>
  <c r="X160"/>
  <c r="BL159"/>
  <c r="BK159"/>
  <c r="BI159"/>
  <c r="BH159"/>
  <c r="BG159"/>
  <c r="BE159"/>
  <c r="BD159"/>
  <c r="BC159"/>
  <c r="BA159"/>
  <c r="AZ159"/>
  <c r="AY159"/>
  <c r="AW159"/>
  <c r="AV159"/>
  <c r="AU159"/>
  <c r="AS159"/>
  <c r="AR159"/>
  <c r="AQ159"/>
  <c r="AO159"/>
  <c r="AN159"/>
  <c r="AM159"/>
  <c r="AK159"/>
  <c r="AJ159"/>
  <c r="AH159"/>
  <c r="AF159"/>
  <c r="AE159"/>
  <c r="AD159"/>
  <c r="AC159"/>
  <c r="AB159"/>
  <c r="AA159"/>
  <c r="Z159"/>
  <c r="Y159"/>
  <c r="X159"/>
  <c r="BL158"/>
  <c r="BK158"/>
  <c r="BI158"/>
  <c r="BH158"/>
  <c r="BG158"/>
  <c r="BE158"/>
  <c r="BD158"/>
  <c r="BC158"/>
  <c r="BA158"/>
  <c r="AZ158"/>
  <c r="AY158"/>
  <c r="AW158"/>
  <c r="AV158"/>
  <c r="AU158"/>
  <c r="AS158"/>
  <c r="AR158"/>
  <c r="AQ158"/>
  <c r="AO158"/>
  <c r="AN158"/>
  <c r="AM158"/>
  <c r="AK158"/>
  <c r="AJ158"/>
  <c r="AH158"/>
  <c r="AF158"/>
  <c r="AE158"/>
  <c r="AD158"/>
  <c r="AC158"/>
  <c r="AB158"/>
  <c r="AA158"/>
  <c r="Z158"/>
  <c r="Y158"/>
  <c r="X158"/>
  <c r="BL157"/>
  <c r="BK157"/>
  <c r="BI157"/>
  <c r="BH157"/>
  <c r="BG157"/>
  <c r="BE157"/>
  <c r="BD157"/>
  <c r="BC157"/>
  <c r="BA157"/>
  <c r="AZ157"/>
  <c r="AY157"/>
  <c r="AW157"/>
  <c r="AV157"/>
  <c r="AU157"/>
  <c r="AS157"/>
  <c r="AR157"/>
  <c r="AQ157"/>
  <c r="AO157"/>
  <c r="AN157"/>
  <c r="AM157"/>
  <c r="AK157"/>
  <c r="AJ157"/>
  <c r="AH157"/>
  <c r="AF157"/>
  <c r="AE157"/>
  <c r="AD157"/>
  <c r="AC157"/>
  <c r="AB157"/>
  <c r="AA157"/>
  <c r="Z157"/>
  <c r="Y157"/>
  <c r="X157"/>
  <c r="BL156"/>
  <c r="BK156"/>
  <c r="BI156"/>
  <c r="BH156"/>
  <c r="BG156"/>
  <c r="BE156"/>
  <c r="BD156"/>
  <c r="BC156"/>
  <c r="BA156"/>
  <c r="AZ156"/>
  <c r="AY156"/>
  <c r="AW156"/>
  <c r="AV156"/>
  <c r="AU156"/>
  <c r="AS156"/>
  <c r="AR156"/>
  <c r="AQ156"/>
  <c r="AO156"/>
  <c r="AN156"/>
  <c r="AM156"/>
  <c r="AK156"/>
  <c r="AJ156"/>
  <c r="AH156"/>
  <c r="AF156"/>
  <c r="AE156"/>
  <c r="AD156"/>
  <c r="AC156"/>
  <c r="AB156"/>
  <c r="AA156"/>
  <c r="Z156"/>
  <c r="Y156"/>
  <c r="X156"/>
  <c r="BL155"/>
  <c r="BK155"/>
  <c r="BI155"/>
  <c r="BH155"/>
  <c r="BG155"/>
  <c r="BE155"/>
  <c r="BD155"/>
  <c r="BC155"/>
  <c r="BA155"/>
  <c r="AZ155"/>
  <c r="AY155"/>
  <c r="AW155"/>
  <c r="AV155"/>
  <c r="AU155"/>
  <c r="AS155"/>
  <c r="AR155"/>
  <c r="AQ155"/>
  <c r="AO155"/>
  <c r="AN155"/>
  <c r="AM155"/>
  <c r="AK155"/>
  <c r="AJ155"/>
  <c r="AH155"/>
  <c r="AF155"/>
  <c r="AE155"/>
  <c r="AD155"/>
  <c r="AC155"/>
  <c r="AB155"/>
  <c r="AA155"/>
  <c r="Z155"/>
  <c r="Y155"/>
  <c r="X155"/>
  <c r="BL154"/>
  <c r="BK154"/>
  <c r="BI154"/>
  <c r="BH154"/>
  <c r="BG154"/>
  <c r="BE154"/>
  <c r="BD154"/>
  <c r="BC154"/>
  <c r="BA154"/>
  <c r="AZ154"/>
  <c r="AY154"/>
  <c r="AW154"/>
  <c r="AV154"/>
  <c r="AU154"/>
  <c r="AS154"/>
  <c r="AR154"/>
  <c r="AQ154"/>
  <c r="AO154"/>
  <c r="AN154"/>
  <c r="AM154"/>
  <c r="AK154"/>
  <c r="AJ154"/>
  <c r="AH154"/>
  <c r="AF154"/>
  <c r="AE154"/>
  <c r="AD154"/>
  <c r="AC154"/>
  <c r="AB154"/>
  <c r="AA154"/>
  <c r="Z154"/>
  <c r="Y154"/>
  <c r="X154"/>
  <c r="BL153"/>
  <c r="BK153"/>
  <c r="BI153"/>
  <c r="BH153"/>
  <c r="BG153"/>
  <c r="BE153"/>
  <c r="BD153"/>
  <c r="BC153"/>
  <c r="BA153"/>
  <c r="AZ153"/>
  <c r="AY153"/>
  <c r="AW153"/>
  <c r="AV153"/>
  <c r="AU153"/>
  <c r="AS153"/>
  <c r="AR153"/>
  <c r="AQ153"/>
  <c r="AO153"/>
  <c r="AN153"/>
  <c r="AM153"/>
  <c r="AK153"/>
  <c r="AJ153"/>
  <c r="AH153"/>
  <c r="AF153"/>
  <c r="AE153"/>
  <c r="AD153"/>
  <c r="AC153"/>
  <c r="AB153"/>
  <c r="AA153"/>
  <c r="Z153"/>
  <c r="Y153"/>
  <c r="X153"/>
  <c r="BL152"/>
  <c r="BK152"/>
  <c r="BI152"/>
  <c r="BH152"/>
  <c r="BG152"/>
  <c r="BE152"/>
  <c r="BD152"/>
  <c r="BC152"/>
  <c r="BA152"/>
  <c r="AZ152"/>
  <c r="AY152"/>
  <c r="AW152"/>
  <c r="AV152"/>
  <c r="AU152"/>
  <c r="AS152"/>
  <c r="AR152"/>
  <c r="AQ152"/>
  <c r="AO152"/>
  <c r="AN152"/>
  <c r="AM152"/>
  <c r="AK152"/>
  <c r="AJ152"/>
  <c r="AH152"/>
  <c r="AF152"/>
  <c r="AE152"/>
  <c r="AD152"/>
  <c r="AC152"/>
  <c r="AB152"/>
  <c r="AA152"/>
  <c r="Z152"/>
  <c r="Y152"/>
  <c r="X152"/>
  <c r="BL151"/>
  <c r="BK151"/>
  <c r="BI151"/>
  <c r="BH151"/>
  <c r="BG151"/>
  <c r="BE151"/>
  <c r="BD151"/>
  <c r="BC151"/>
  <c r="BA151"/>
  <c r="AZ151"/>
  <c r="AY151"/>
  <c r="AW151"/>
  <c r="AV151"/>
  <c r="AU151"/>
  <c r="AS151"/>
  <c r="AR151"/>
  <c r="AQ151"/>
  <c r="AO151"/>
  <c r="AN151"/>
  <c r="AM151"/>
  <c r="AK151"/>
  <c r="AJ151"/>
  <c r="AH151"/>
  <c r="AF151"/>
  <c r="AE151"/>
  <c r="AD151"/>
  <c r="AC151"/>
  <c r="AB151"/>
  <c r="AA151"/>
  <c r="Z151"/>
  <c r="Y151"/>
  <c r="X151"/>
  <c r="BL150"/>
  <c r="BK150"/>
  <c r="BI150"/>
  <c r="BH150"/>
  <c r="BG150"/>
  <c r="BE150"/>
  <c r="BD150"/>
  <c r="BC150"/>
  <c r="BA150"/>
  <c r="AZ150"/>
  <c r="AY150"/>
  <c r="AW150"/>
  <c r="AV150"/>
  <c r="AU150"/>
  <c r="AS150"/>
  <c r="AR150"/>
  <c r="AQ150"/>
  <c r="AO150"/>
  <c r="AN150"/>
  <c r="AM150"/>
  <c r="AK150"/>
  <c r="AJ150"/>
  <c r="AH150"/>
  <c r="AF150"/>
  <c r="AE150"/>
  <c r="AD150"/>
  <c r="AC150"/>
  <c r="AB150"/>
  <c r="AA150"/>
  <c r="Z150"/>
  <c r="Y150"/>
  <c r="X150"/>
  <c r="BL149"/>
  <c r="BK149"/>
  <c r="BI149"/>
  <c r="BH149"/>
  <c r="BG149"/>
  <c r="BE149"/>
  <c r="BD149"/>
  <c r="BC149"/>
  <c r="BA149"/>
  <c r="AZ149"/>
  <c r="AY149"/>
  <c r="AW149"/>
  <c r="AV149"/>
  <c r="AU149"/>
  <c r="AS149"/>
  <c r="AR149"/>
  <c r="AQ149"/>
  <c r="AO149"/>
  <c r="AN149"/>
  <c r="AM149"/>
  <c r="AK149"/>
  <c r="AJ149"/>
  <c r="AH149"/>
  <c r="AF149"/>
  <c r="AE149"/>
  <c r="AD149"/>
  <c r="AC149"/>
  <c r="AB149"/>
  <c r="AA149"/>
  <c r="Z149"/>
  <c r="Y149"/>
  <c r="X149"/>
  <c r="BL148"/>
  <c r="BK148"/>
  <c r="BI148"/>
  <c r="BH148"/>
  <c r="BG148"/>
  <c r="BE148"/>
  <c r="BD148"/>
  <c r="BC148"/>
  <c r="BA148"/>
  <c r="AZ148"/>
  <c r="AY148"/>
  <c r="AW148"/>
  <c r="AV148"/>
  <c r="AU148"/>
  <c r="AS148"/>
  <c r="AR148"/>
  <c r="AQ148"/>
  <c r="AO148"/>
  <c r="AN148"/>
  <c r="AM148"/>
  <c r="AK148"/>
  <c r="AJ148"/>
  <c r="AH148"/>
  <c r="AF148"/>
  <c r="AE148"/>
  <c r="AD148"/>
  <c r="AC148"/>
  <c r="AB148"/>
  <c r="AA148"/>
  <c r="Z148"/>
  <c r="Y148"/>
  <c r="X148"/>
  <c r="BL147"/>
  <c r="BK147"/>
  <c r="BI147"/>
  <c r="BH147"/>
  <c r="BG147"/>
  <c r="BE147"/>
  <c r="BD147"/>
  <c r="BC147"/>
  <c r="BA147"/>
  <c r="AZ147"/>
  <c r="AY147"/>
  <c r="AW147"/>
  <c r="AV147"/>
  <c r="AU147"/>
  <c r="AS147"/>
  <c r="AR147"/>
  <c r="AQ147"/>
  <c r="AO147"/>
  <c r="AN147"/>
  <c r="AM147"/>
  <c r="AK147"/>
  <c r="AJ147"/>
  <c r="AH147"/>
  <c r="AF147"/>
  <c r="AE147"/>
  <c r="AD147"/>
  <c r="AC147"/>
  <c r="AB147"/>
  <c r="AA147"/>
  <c r="Z147"/>
  <c r="Y147"/>
  <c r="X147"/>
  <c r="BL146"/>
  <c r="BK146"/>
  <c r="BI146"/>
  <c r="BH146"/>
  <c r="BG146"/>
  <c r="BE146"/>
  <c r="BD146"/>
  <c r="BC146"/>
  <c r="BA146"/>
  <c r="AZ146"/>
  <c r="AY146"/>
  <c r="AW146"/>
  <c r="AV146"/>
  <c r="AU146"/>
  <c r="AS146"/>
  <c r="AR146"/>
  <c r="AQ146"/>
  <c r="AO146"/>
  <c r="AN146"/>
  <c r="AM146"/>
  <c r="AK146"/>
  <c r="AJ146"/>
  <c r="AH146"/>
  <c r="AF146"/>
  <c r="AE146"/>
  <c r="AD146"/>
  <c r="AC146"/>
  <c r="AB146"/>
  <c r="AA146"/>
  <c r="Z146"/>
  <c r="Y146"/>
  <c r="X146"/>
  <c r="BL145"/>
  <c r="BK145"/>
  <c r="BI145"/>
  <c r="BH145"/>
  <c r="BG145"/>
  <c r="BE145"/>
  <c r="BD145"/>
  <c r="BC145"/>
  <c r="BA145"/>
  <c r="AZ145"/>
  <c r="AY145"/>
  <c r="AW145"/>
  <c r="AV145"/>
  <c r="AU145"/>
  <c r="AS145"/>
  <c r="AR145"/>
  <c r="AQ145"/>
  <c r="AO145"/>
  <c r="AN145"/>
  <c r="AM145"/>
  <c r="AK145"/>
  <c r="AJ145"/>
  <c r="AH145"/>
  <c r="AF145"/>
  <c r="AE145"/>
  <c r="AD145"/>
  <c r="AC145"/>
  <c r="AB145"/>
  <c r="AA145"/>
  <c r="Z145"/>
  <c r="Y145"/>
  <c r="X145"/>
  <c r="BL144"/>
  <c r="BK144"/>
  <c r="BI144"/>
  <c r="BH144"/>
  <c r="BG144"/>
  <c r="BE144"/>
  <c r="BD144"/>
  <c r="BC144"/>
  <c r="BA144"/>
  <c r="AZ144"/>
  <c r="AY144"/>
  <c r="AW144"/>
  <c r="AV144"/>
  <c r="AU144"/>
  <c r="AS144"/>
  <c r="AR144"/>
  <c r="AQ144"/>
  <c r="AO144"/>
  <c r="AN144"/>
  <c r="AM144"/>
  <c r="AK144"/>
  <c r="AJ144"/>
  <c r="AH144"/>
  <c r="AF144"/>
  <c r="AE144"/>
  <c r="AD144"/>
  <c r="AC144"/>
  <c r="AB144"/>
  <c r="AA144"/>
  <c r="Z144"/>
  <c r="Y144"/>
  <c r="X144"/>
  <c r="BL143"/>
  <c r="BK143"/>
  <c r="BI143"/>
  <c r="BH143"/>
  <c r="BG143"/>
  <c r="BE143"/>
  <c r="BD143"/>
  <c r="BC143"/>
  <c r="BA143"/>
  <c r="AZ143"/>
  <c r="AY143"/>
  <c r="AW143"/>
  <c r="AV143"/>
  <c r="AU143"/>
  <c r="AS143"/>
  <c r="AR143"/>
  <c r="AQ143"/>
  <c r="AO143"/>
  <c r="AN143"/>
  <c r="AM143"/>
  <c r="AK143"/>
  <c r="AJ143"/>
  <c r="AH143"/>
  <c r="AF143"/>
  <c r="AE143"/>
  <c r="AD143"/>
  <c r="AC143"/>
  <c r="AB143"/>
  <c r="AA143"/>
  <c r="Z143"/>
  <c r="Y143"/>
  <c r="X143"/>
  <c r="BL142"/>
  <c r="BK142"/>
  <c r="BI142"/>
  <c r="BH142"/>
  <c r="BG142"/>
  <c r="BE142"/>
  <c r="BD142"/>
  <c r="BC142"/>
  <c r="BA142"/>
  <c r="AZ142"/>
  <c r="AY142"/>
  <c r="AW142"/>
  <c r="AV142"/>
  <c r="AU142"/>
  <c r="AS142"/>
  <c r="AR142"/>
  <c r="AQ142"/>
  <c r="AO142"/>
  <c r="AN142"/>
  <c r="AM142"/>
  <c r="AK142"/>
  <c r="AJ142"/>
  <c r="AH142"/>
  <c r="AF142"/>
  <c r="AE142"/>
  <c r="AD142"/>
  <c r="AC142"/>
  <c r="AB142"/>
  <c r="AA142"/>
  <c r="Z142"/>
  <c r="Y142"/>
  <c r="X142"/>
  <c r="BL141"/>
  <c r="BK141"/>
  <c r="BI141"/>
  <c r="BH141"/>
  <c r="BG141"/>
  <c r="BE141"/>
  <c r="BD141"/>
  <c r="BC141"/>
  <c r="BA141"/>
  <c r="AZ141"/>
  <c r="AY141"/>
  <c r="AW141"/>
  <c r="AV141"/>
  <c r="AU141"/>
  <c r="AS141"/>
  <c r="AR141"/>
  <c r="AQ141"/>
  <c r="AO141"/>
  <c r="AN141"/>
  <c r="AM141"/>
  <c r="AK141"/>
  <c r="AJ141"/>
  <c r="AH141"/>
  <c r="AF141"/>
  <c r="AE141"/>
  <c r="AD141"/>
  <c r="AC141"/>
  <c r="AB141"/>
  <c r="AA141"/>
  <c r="Z141"/>
  <c r="Y141"/>
  <c r="X141"/>
  <c r="BL140"/>
  <c r="BK140"/>
  <c r="BI140"/>
  <c r="BH140"/>
  <c r="BG140"/>
  <c r="BE140"/>
  <c r="BD140"/>
  <c r="BC140"/>
  <c r="BA140"/>
  <c r="AZ140"/>
  <c r="AY140"/>
  <c r="AW140"/>
  <c r="AV140"/>
  <c r="AU140"/>
  <c r="AS140"/>
  <c r="AR140"/>
  <c r="AQ140"/>
  <c r="AO140"/>
  <c r="AN140"/>
  <c r="AM140"/>
  <c r="AK140"/>
  <c r="AJ140"/>
  <c r="AH140"/>
  <c r="AF140"/>
  <c r="AE140"/>
  <c r="AD140"/>
  <c r="AC140"/>
  <c r="AB140"/>
  <c r="AA140"/>
  <c r="Z140"/>
  <c r="Y140"/>
  <c r="X140"/>
  <c r="BL139"/>
  <c r="BK139"/>
  <c r="BI139"/>
  <c r="BH139"/>
  <c r="BG139"/>
  <c r="BE139"/>
  <c r="BD139"/>
  <c r="BC139"/>
  <c r="BA139"/>
  <c r="AZ139"/>
  <c r="AY139"/>
  <c r="AW139"/>
  <c r="AV139"/>
  <c r="AU139"/>
  <c r="AS139"/>
  <c r="AR139"/>
  <c r="AQ139"/>
  <c r="AO139"/>
  <c r="AN139"/>
  <c r="AM139"/>
  <c r="AK139"/>
  <c r="AJ139"/>
  <c r="AH139"/>
  <c r="AF139"/>
  <c r="AE139"/>
  <c r="AD139"/>
  <c r="AC139"/>
  <c r="AB139"/>
  <c r="AA139"/>
  <c r="Z139"/>
  <c r="Y139"/>
  <c r="X139"/>
  <c r="BL138"/>
  <c r="BK138"/>
  <c r="BI138"/>
  <c r="BH138"/>
  <c r="BG138"/>
  <c r="BE138"/>
  <c r="BD138"/>
  <c r="BC138"/>
  <c r="BA138"/>
  <c r="AZ138"/>
  <c r="AY138"/>
  <c r="AW138"/>
  <c r="AV138"/>
  <c r="AU138"/>
  <c r="AS138"/>
  <c r="AR138"/>
  <c r="AQ138"/>
  <c r="AO138"/>
  <c r="AN138"/>
  <c r="AM138"/>
  <c r="AK138"/>
  <c r="AJ138"/>
  <c r="AH138"/>
  <c r="AF138"/>
  <c r="AE138"/>
  <c r="AD138"/>
  <c r="AC138"/>
  <c r="AB138"/>
  <c r="AA138"/>
  <c r="Z138"/>
  <c r="Y138"/>
  <c r="X138"/>
  <c r="BL137"/>
  <c r="BK137"/>
  <c r="BI137"/>
  <c r="BH137"/>
  <c r="BG137"/>
  <c r="BE137"/>
  <c r="BD137"/>
  <c r="BC137"/>
  <c r="BA137"/>
  <c r="AZ137"/>
  <c r="AY137"/>
  <c r="AW137"/>
  <c r="AV137"/>
  <c r="AU137"/>
  <c r="AS137"/>
  <c r="AR137"/>
  <c r="AQ137"/>
  <c r="AO137"/>
  <c r="AN137"/>
  <c r="AM137"/>
  <c r="AK137"/>
  <c r="AJ137"/>
  <c r="AH137"/>
  <c r="AF137"/>
  <c r="AE137"/>
  <c r="AD137"/>
  <c r="AC137"/>
  <c r="AB137"/>
  <c r="AA137"/>
  <c r="Z137"/>
  <c r="Y137"/>
  <c r="X137"/>
  <c r="BL136"/>
  <c r="BK136"/>
  <c r="BI136"/>
  <c r="BH136"/>
  <c r="BG136"/>
  <c r="BE136"/>
  <c r="BD136"/>
  <c r="BC136"/>
  <c r="BA136"/>
  <c r="AZ136"/>
  <c r="AY136"/>
  <c r="AW136"/>
  <c r="AV136"/>
  <c r="AU136"/>
  <c r="AS136"/>
  <c r="AR136"/>
  <c r="AQ136"/>
  <c r="AO136"/>
  <c r="AN136"/>
  <c r="AM136"/>
  <c r="AK136"/>
  <c r="AJ136"/>
  <c r="AH136"/>
  <c r="AF136"/>
  <c r="AE136"/>
  <c r="AD136"/>
  <c r="AC136"/>
  <c r="AB136"/>
  <c r="AA136"/>
  <c r="Z136"/>
  <c r="Y136"/>
  <c r="X136"/>
  <c r="BL135"/>
  <c r="BK135"/>
  <c r="BI135"/>
  <c r="BH135"/>
  <c r="BG135"/>
  <c r="BE135"/>
  <c r="BD135"/>
  <c r="BC135"/>
  <c r="BA135"/>
  <c r="AZ135"/>
  <c r="AY135"/>
  <c r="AW135"/>
  <c r="AV135"/>
  <c r="AU135"/>
  <c r="AS135"/>
  <c r="AR135"/>
  <c r="AQ135"/>
  <c r="AO135"/>
  <c r="AN135"/>
  <c r="AM135"/>
  <c r="AK135"/>
  <c r="AJ135"/>
  <c r="AH135"/>
  <c r="AF135"/>
  <c r="AE135"/>
  <c r="AD135"/>
  <c r="AC135"/>
  <c r="AB135"/>
  <c r="AA135"/>
  <c r="Z135"/>
  <c r="Y135"/>
  <c r="X135"/>
  <c r="BL134"/>
  <c r="BK134"/>
  <c r="BI134"/>
  <c r="BH134"/>
  <c r="BG134"/>
  <c r="BE134"/>
  <c r="BD134"/>
  <c r="BC134"/>
  <c r="BA134"/>
  <c r="AZ134"/>
  <c r="AY134"/>
  <c r="AW134"/>
  <c r="AV134"/>
  <c r="AU134"/>
  <c r="AS134"/>
  <c r="AR134"/>
  <c r="AQ134"/>
  <c r="AO134"/>
  <c r="AN134"/>
  <c r="AM134"/>
  <c r="AK134"/>
  <c r="AJ134"/>
  <c r="AH134"/>
  <c r="AF134"/>
  <c r="AE134"/>
  <c r="AD134"/>
  <c r="AC134"/>
  <c r="AB134"/>
  <c r="AA134"/>
  <c r="Z134"/>
  <c r="Y134"/>
  <c r="X134"/>
  <c r="BL133"/>
  <c r="BK133"/>
  <c r="BI133"/>
  <c r="BH133"/>
  <c r="BG133"/>
  <c r="BE133"/>
  <c r="BD133"/>
  <c r="BC133"/>
  <c r="BA133"/>
  <c r="AZ133"/>
  <c r="AY133"/>
  <c r="AW133"/>
  <c r="AV133"/>
  <c r="AU133"/>
  <c r="AS133"/>
  <c r="AR133"/>
  <c r="AQ133"/>
  <c r="AO133"/>
  <c r="AN133"/>
  <c r="AM133"/>
  <c r="AK133"/>
  <c r="AJ133"/>
  <c r="AH133"/>
  <c r="AF133"/>
  <c r="AE133"/>
  <c r="AD133"/>
  <c r="AC133"/>
  <c r="AB133"/>
  <c r="AA133"/>
  <c r="Z133"/>
  <c r="Y133"/>
  <c r="X133"/>
  <c r="BL132"/>
  <c r="BK132"/>
  <c r="BI132"/>
  <c r="BH132"/>
  <c r="BG132"/>
  <c r="BE132"/>
  <c r="BD132"/>
  <c r="BC132"/>
  <c r="BA132"/>
  <c r="AZ132"/>
  <c r="AY132"/>
  <c r="AW132"/>
  <c r="AV132"/>
  <c r="AU132"/>
  <c r="AS132"/>
  <c r="AR132"/>
  <c r="AQ132"/>
  <c r="AO132"/>
  <c r="AN132"/>
  <c r="AM132"/>
  <c r="AK132"/>
  <c r="AJ132"/>
  <c r="AH132"/>
  <c r="AF132"/>
  <c r="AE132"/>
  <c r="AD132"/>
  <c r="AC132"/>
  <c r="AB132"/>
  <c r="AA132"/>
  <c r="Z132"/>
  <c r="Y132"/>
  <c r="X132"/>
  <c r="BL131"/>
  <c r="BK131"/>
  <c r="BI131"/>
  <c r="BH131"/>
  <c r="BG131"/>
  <c r="BE131"/>
  <c r="BD131"/>
  <c r="BC131"/>
  <c r="BA131"/>
  <c r="AZ131"/>
  <c r="AY131"/>
  <c r="AW131"/>
  <c r="AV131"/>
  <c r="AU131"/>
  <c r="AS131"/>
  <c r="AR131"/>
  <c r="AQ131"/>
  <c r="AO131"/>
  <c r="AN131"/>
  <c r="AM131"/>
  <c r="AK131"/>
  <c r="AJ131"/>
  <c r="AH131"/>
  <c r="AF131"/>
  <c r="AE131"/>
  <c r="AD131"/>
  <c r="AC131"/>
  <c r="AB131"/>
  <c r="AA131"/>
  <c r="Z131"/>
  <c r="Y131"/>
  <c r="X131"/>
  <c r="BL130"/>
  <c r="BK130"/>
  <c r="BI130"/>
  <c r="BH130"/>
  <c r="BG130"/>
  <c r="BE130"/>
  <c r="BD130"/>
  <c r="BC130"/>
  <c r="BA130"/>
  <c r="AZ130"/>
  <c r="AY130"/>
  <c r="AW130"/>
  <c r="AV130"/>
  <c r="AU130"/>
  <c r="AS130"/>
  <c r="AR130"/>
  <c r="AQ130"/>
  <c r="AO130"/>
  <c r="AN130"/>
  <c r="AM130"/>
  <c r="AK130"/>
  <c r="AJ130"/>
  <c r="AH130"/>
  <c r="AF130"/>
  <c r="AE130"/>
  <c r="AD130"/>
  <c r="AC130"/>
  <c r="AB130"/>
  <c r="AA130"/>
  <c r="Z130"/>
  <c r="Y130"/>
  <c r="X130"/>
  <c r="BL129"/>
  <c r="BK129"/>
  <c r="BI129"/>
  <c r="BH129"/>
  <c r="BG129"/>
  <c r="BE129"/>
  <c r="BD129"/>
  <c r="BC129"/>
  <c r="BA129"/>
  <c r="AZ129"/>
  <c r="AY129"/>
  <c r="AW129"/>
  <c r="AV129"/>
  <c r="AU129"/>
  <c r="AS129"/>
  <c r="AR129"/>
  <c r="AQ129"/>
  <c r="AO129"/>
  <c r="AN129"/>
  <c r="AM129"/>
  <c r="AK129"/>
  <c r="AJ129"/>
  <c r="AH129"/>
  <c r="AF129"/>
  <c r="AE129"/>
  <c r="AD129"/>
  <c r="AC129"/>
  <c r="AB129"/>
  <c r="AA129"/>
  <c r="Z129"/>
  <c r="Y129"/>
  <c r="X129"/>
  <c r="BL128"/>
  <c r="BK128"/>
  <c r="BI128"/>
  <c r="BH128"/>
  <c r="BG128"/>
  <c r="BE128"/>
  <c r="BD128"/>
  <c r="BC128"/>
  <c r="BA128"/>
  <c r="AZ128"/>
  <c r="AY128"/>
  <c r="AW128"/>
  <c r="AV128"/>
  <c r="AU128"/>
  <c r="AS128"/>
  <c r="AR128"/>
  <c r="AQ128"/>
  <c r="AO128"/>
  <c r="AN128"/>
  <c r="AM128"/>
  <c r="AK128"/>
  <c r="AJ128"/>
  <c r="AH128"/>
  <c r="AF128"/>
  <c r="AE128"/>
  <c r="AD128"/>
  <c r="AC128"/>
  <c r="AB128"/>
  <c r="AA128"/>
  <c r="Z128"/>
  <c r="Y128"/>
  <c r="X128"/>
  <c r="BL127"/>
  <c r="BK127"/>
  <c r="BI127"/>
  <c r="BH127"/>
  <c r="BG127"/>
  <c r="BE127"/>
  <c r="BD127"/>
  <c r="BC127"/>
  <c r="BA127"/>
  <c r="AZ127"/>
  <c r="AY127"/>
  <c r="AW127"/>
  <c r="AV127"/>
  <c r="AU127"/>
  <c r="AS127"/>
  <c r="AR127"/>
  <c r="AQ127"/>
  <c r="AO127"/>
  <c r="AN127"/>
  <c r="AM127"/>
  <c r="AK127"/>
  <c r="AJ127"/>
  <c r="AH127"/>
  <c r="AF127"/>
  <c r="AE127"/>
  <c r="AD127"/>
  <c r="AC127"/>
  <c r="AB127"/>
  <c r="AA127"/>
  <c r="Z127"/>
  <c r="Y127"/>
  <c r="X127"/>
  <c r="BL126"/>
  <c r="BK126"/>
  <c r="BI126"/>
  <c r="BH126"/>
  <c r="BG126"/>
  <c r="BE126"/>
  <c r="BD126"/>
  <c r="BC126"/>
  <c r="BA126"/>
  <c r="AZ126"/>
  <c r="AY126"/>
  <c r="AW126"/>
  <c r="AV126"/>
  <c r="AU126"/>
  <c r="AS126"/>
  <c r="AR126"/>
  <c r="AQ126"/>
  <c r="AO126"/>
  <c r="AN126"/>
  <c r="AM126"/>
  <c r="AK126"/>
  <c r="AJ126"/>
  <c r="AH126"/>
  <c r="AF126"/>
  <c r="AE126"/>
  <c r="AD126"/>
  <c r="AC126"/>
  <c r="AB126"/>
  <c r="AA126"/>
  <c r="Z126"/>
  <c r="Y126"/>
  <c r="X126"/>
  <c r="BL125"/>
  <c r="BK125"/>
  <c r="BI125"/>
  <c r="BH125"/>
  <c r="BG125"/>
  <c r="BE125"/>
  <c r="BD125"/>
  <c r="BC125"/>
  <c r="BA125"/>
  <c r="AZ125"/>
  <c r="AY125"/>
  <c r="AW125"/>
  <c r="AV125"/>
  <c r="AU125"/>
  <c r="AS125"/>
  <c r="AR125"/>
  <c r="AQ125"/>
  <c r="AO125"/>
  <c r="AN125"/>
  <c r="AM125"/>
  <c r="AK125"/>
  <c r="AJ125"/>
  <c r="AH125"/>
  <c r="AF125"/>
  <c r="AE125"/>
  <c r="AD125"/>
  <c r="AC125"/>
  <c r="AB125"/>
  <c r="AA125"/>
  <c r="Z125"/>
  <c r="Y125"/>
  <c r="X125"/>
  <c r="BL124"/>
  <c r="BK124"/>
  <c r="BI124"/>
  <c r="BH124"/>
  <c r="BG124"/>
  <c r="BE124"/>
  <c r="BD124"/>
  <c r="BC124"/>
  <c r="BA124"/>
  <c r="AZ124"/>
  <c r="AY124"/>
  <c r="AW124"/>
  <c r="AV124"/>
  <c r="AU124"/>
  <c r="AS124"/>
  <c r="AR124"/>
  <c r="AQ124"/>
  <c r="AO124"/>
  <c r="AN124"/>
  <c r="AM124"/>
  <c r="AK124"/>
  <c r="AJ124"/>
  <c r="AH124"/>
  <c r="AF124"/>
  <c r="AE124"/>
  <c r="AD124"/>
  <c r="AC124"/>
  <c r="AB124"/>
  <c r="AA124"/>
  <c r="Z124"/>
  <c r="Y124"/>
  <c r="X124"/>
  <c r="BL123"/>
  <c r="BK123"/>
  <c r="BI123"/>
  <c r="BH123"/>
  <c r="BG123"/>
  <c r="BE123"/>
  <c r="BD123"/>
  <c r="BC123"/>
  <c r="BA123"/>
  <c r="AZ123"/>
  <c r="AY123"/>
  <c r="AW123"/>
  <c r="AV123"/>
  <c r="AU123"/>
  <c r="AS123"/>
  <c r="AR123"/>
  <c r="AQ123"/>
  <c r="AO123"/>
  <c r="AN123"/>
  <c r="AM123"/>
  <c r="AK123"/>
  <c r="AJ123"/>
  <c r="AH123"/>
  <c r="AF123"/>
  <c r="AE123"/>
  <c r="AD123"/>
  <c r="AC123"/>
  <c r="AB123"/>
  <c r="AA123"/>
  <c r="Z123"/>
  <c r="Y123"/>
  <c r="X123"/>
  <c r="BL122"/>
  <c r="BK122"/>
  <c r="BI122"/>
  <c r="BH122"/>
  <c r="BG122"/>
  <c r="BE122"/>
  <c r="BD122"/>
  <c r="BC122"/>
  <c r="BA122"/>
  <c r="AZ122"/>
  <c r="AY122"/>
  <c r="AW122"/>
  <c r="AV122"/>
  <c r="AU122"/>
  <c r="AS122"/>
  <c r="AR122"/>
  <c r="AQ122"/>
  <c r="AO122"/>
  <c r="AN122"/>
  <c r="AM122"/>
  <c r="AK122"/>
  <c r="AJ122"/>
  <c r="AH122"/>
  <c r="AF122"/>
  <c r="AE122"/>
  <c r="AD122"/>
  <c r="AC122"/>
  <c r="AB122"/>
  <c r="AA122"/>
  <c r="Z122"/>
  <c r="Y122"/>
  <c r="X122"/>
  <c r="BL121"/>
  <c r="BK121"/>
  <c r="BI121"/>
  <c r="BH121"/>
  <c r="BG121"/>
  <c r="BE121"/>
  <c r="BD121"/>
  <c r="BC121"/>
  <c r="BA121"/>
  <c r="AZ121"/>
  <c r="AY121"/>
  <c r="AW121"/>
  <c r="AV121"/>
  <c r="AU121"/>
  <c r="AS121"/>
  <c r="AR121"/>
  <c r="AQ121"/>
  <c r="AO121"/>
  <c r="AN121"/>
  <c r="AM121"/>
  <c r="AK121"/>
  <c r="AJ121"/>
  <c r="AH121"/>
  <c r="AF121"/>
  <c r="AE121"/>
  <c r="AD121"/>
  <c r="AC121"/>
  <c r="AB121"/>
  <c r="AA121"/>
  <c r="Z121"/>
  <c r="Y121"/>
  <c r="X121"/>
  <c r="BL120"/>
  <c r="BK120"/>
  <c r="BI120"/>
  <c r="BH120"/>
  <c r="BG120"/>
  <c r="BE120"/>
  <c r="BD120"/>
  <c r="BC120"/>
  <c r="BA120"/>
  <c r="AZ120"/>
  <c r="AY120"/>
  <c r="AW120"/>
  <c r="AV120"/>
  <c r="AU120"/>
  <c r="AS120"/>
  <c r="AR120"/>
  <c r="AQ120"/>
  <c r="AO120"/>
  <c r="AN120"/>
  <c r="AM120"/>
  <c r="AK120"/>
  <c r="AJ120"/>
  <c r="AH120"/>
  <c r="AF120"/>
  <c r="AE120"/>
  <c r="AD120"/>
  <c r="AC120"/>
  <c r="AB120"/>
  <c r="AA120"/>
  <c r="Z120"/>
  <c r="Y120"/>
  <c r="X120"/>
  <c r="BL119"/>
  <c r="BK119"/>
  <c r="BI119"/>
  <c r="BH119"/>
  <c r="BG119"/>
  <c r="BE119"/>
  <c r="BD119"/>
  <c r="BC119"/>
  <c r="BA119"/>
  <c r="AZ119"/>
  <c r="AY119"/>
  <c r="AW119"/>
  <c r="AV119"/>
  <c r="AU119"/>
  <c r="AS119"/>
  <c r="AR119"/>
  <c r="AQ119"/>
  <c r="AO119"/>
  <c r="AN119"/>
  <c r="AM119"/>
  <c r="AK119"/>
  <c r="AJ119"/>
  <c r="AH119"/>
  <c r="AF119"/>
  <c r="AE119"/>
  <c r="AD119"/>
  <c r="AC119"/>
  <c r="AB119"/>
  <c r="AA119"/>
  <c r="Z119"/>
  <c r="Y119"/>
  <c r="X119"/>
  <c r="BL118"/>
  <c r="BK118"/>
  <c r="BI118"/>
  <c r="BH118"/>
  <c r="BG118"/>
  <c r="BE118"/>
  <c r="BD118"/>
  <c r="BC118"/>
  <c r="BA118"/>
  <c r="AZ118"/>
  <c r="AY118"/>
  <c r="AW118"/>
  <c r="AV118"/>
  <c r="AU118"/>
  <c r="AS118"/>
  <c r="AR118"/>
  <c r="AQ118"/>
  <c r="AO118"/>
  <c r="AN118"/>
  <c r="AM118"/>
  <c r="AK118"/>
  <c r="AJ118"/>
  <c r="AH118"/>
  <c r="AF118"/>
  <c r="AE118"/>
  <c r="AD118"/>
  <c r="AC118"/>
  <c r="AB118"/>
  <c r="AA118"/>
  <c r="Z118"/>
  <c r="Y118"/>
  <c r="X118"/>
  <c r="BL117"/>
  <c r="BK117"/>
  <c r="BI117"/>
  <c r="BH117"/>
  <c r="BG117"/>
  <c r="BE117"/>
  <c r="BD117"/>
  <c r="BC117"/>
  <c r="BA117"/>
  <c r="AZ117"/>
  <c r="AY117"/>
  <c r="AW117"/>
  <c r="AV117"/>
  <c r="AU117"/>
  <c r="AS117"/>
  <c r="AR117"/>
  <c r="AQ117"/>
  <c r="AO117"/>
  <c r="AN117"/>
  <c r="AM117"/>
  <c r="AK117"/>
  <c r="AJ117"/>
  <c r="AH117"/>
  <c r="AF117"/>
  <c r="AE117"/>
  <c r="AD117"/>
  <c r="AC117"/>
  <c r="AB117"/>
  <c r="AA117"/>
  <c r="Z117"/>
  <c r="Y117"/>
  <c r="X117"/>
  <c r="BL116"/>
  <c r="BK116"/>
  <c r="BI116"/>
  <c r="BH116"/>
  <c r="BG116"/>
  <c r="BE116"/>
  <c r="BD116"/>
  <c r="BC116"/>
  <c r="BA116"/>
  <c r="AZ116"/>
  <c r="AY116"/>
  <c r="AW116"/>
  <c r="AV116"/>
  <c r="AU116"/>
  <c r="AS116"/>
  <c r="AR116"/>
  <c r="AQ116"/>
  <c r="AO116"/>
  <c r="AN116"/>
  <c r="AM116"/>
  <c r="AK116"/>
  <c r="AJ116"/>
  <c r="AH116"/>
  <c r="AF116"/>
  <c r="AE116"/>
  <c r="AD116"/>
  <c r="AC116"/>
  <c r="AB116"/>
  <c r="AA116"/>
  <c r="Z116"/>
  <c r="Y116"/>
  <c r="X116"/>
  <c r="BL115"/>
  <c r="BK115"/>
  <c r="BI115"/>
  <c r="BH115"/>
  <c r="BG115"/>
  <c r="BE115"/>
  <c r="BD115"/>
  <c r="BC115"/>
  <c r="BA115"/>
  <c r="AZ115"/>
  <c r="AY115"/>
  <c r="AW115"/>
  <c r="AV115"/>
  <c r="AU115"/>
  <c r="AS115"/>
  <c r="AR115"/>
  <c r="AQ115"/>
  <c r="AO115"/>
  <c r="AN115"/>
  <c r="AM115"/>
  <c r="AK115"/>
  <c r="AJ115"/>
  <c r="AH115"/>
  <c r="AF115"/>
  <c r="AE115"/>
  <c r="AD115"/>
  <c r="AC115"/>
  <c r="AB115"/>
  <c r="AA115"/>
  <c r="Z115"/>
  <c r="Y115"/>
  <c r="X115"/>
  <c r="BL114"/>
  <c r="BK114"/>
  <c r="BI114"/>
  <c r="BH114"/>
  <c r="BG114"/>
  <c r="BE114"/>
  <c r="BD114"/>
  <c r="BC114"/>
  <c r="BA114"/>
  <c r="AZ114"/>
  <c r="AY114"/>
  <c r="AW114"/>
  <c r="AV114"/>
  <c r="AU114"/>
  <c r="AS114"/>
  <c r="AR114"/>
  <c r="AQ114"/>
  <c r="AO114"/>
  <c r="AN114"/>
  <c r="AM114"/>
  <c r="AK114"/>
  <c r="AJ114"/>
  <c r="AH114"/>
  <c r="AF114"/>
  <c r="AE114"/>
  <c r="AD114"/>
  <c r="AC114"/>
  <c r="AB114"/>
  <c r="AA114"/>
  <c r="Z114"/>
  <c r="Y114"/>
  <c r="X114"/>
  <c r="BL113"/>
  <c r="BK113"/>
  <c r="BI113"/>
  <c r="BH113"/>
  <c r="BG113"/>
  <c r="BE113"/>
  <c r="BD113"/>
  <c r="BC113"/>
  <c r="BA113"/>
  <c r="AZ113"/>
  <c r="AY113"/>
  <c r="AW113"/>
  <c r="AV113"/>
  <c r="AU113"/>
  <c r="AS113"/>
  <c r="AR113"/>
  <c r="AQ113"/>
  <c r="AO113"/>
  <c r="AN113"/>
  <c r="AM113"/>
  <c r="AK113"/>
  <c r="AJ113"/>
  <c r="AH113"/>
  <c r="AF113"/>
  <c r="AE113"/>
  <c r="AD113"/>
  <c r="AC113"/>
  <c r="AB113"/>
  <c r="AA113"/>
  <c r="Z113"/>
  <c r="Y113"/>
  <c r="X113"/>
  <c r="BL112"/>
  <c r="BK112"/>
  <c r="BI112"/>
  <c r="BH112"/>
  <c r="BG112"/>
  <c r="BE112"/>
  <c r="BD112"/>
  <c r="BC112"/>
  <c r="BA112"/>
  <c r="AZ112"/>
  <c r="AY112"/>
  <c r="AW112"/>
  <c r="AV112"/>
  <c r="AU112"/>
  <c r="AS112"/>
  <c r="AR112"/>
  <c r="AQ112"/>
  <c r="AO112"/>
  <c r="AN112"/>
  <c r="AM112"/>
  <c r="AK112"/>
  <c r="AJ112"/>
  <c r="AH112"/>
  <c r="AF112"/>
  <c r="AE112"/>
  <c r="AD112"/>
  <c r="AC112"/>
  <c r="AB112"/>
  <c r="AA112"/>
  <c r="Z112"/>
  <c r="Y112"/>
  <c r="X112"/>
  <c r="BL111"/>
  <c r="BK111"/>
  <c r="BI111"/>
  <c r="BH111"/>
  <c r="BG111"/>
  <c r="BE111"/>
  <c r="BD111"/>
  <c r="BC111"/>
  <c r="BA111"/>
  <c r="AZ111"/>
  <c r="AY111"/>
  <c r="AW111"/>
  <c r="AV111"/>
  <c r="AU111"/>
  <c r="AS111"/>
  <c r="AR111"/>
  <c r="AQ111"/>
  <c r="AO111"/>
  <c r="AN111"/>
  <c r="AM111"/>
  <c r="AK111"/>
  <c r="AJ111"/>
  <c r="AH111"/>
  <c r="AF111"/>
  <c r="AE111"/>
  <c r="AD111"/>
  <c r="AC111"/>
  <c r="AB111"/>
  <c r="AA111"/>
  <c r="Z111"/>
  <c r="Y111"/>
  <c r="X111"/>
  <c r="BL110"/>
  <c r="BK110"/>
  <c r="BI110"/>
  <c r="BH110"/>
  <c r="BG110"/>
  <c r="BE110"/>
  <c r="BD110"/>
  <c r="BC110"/>
  <c r="BA110"/>
  <c r="AZ110"/>
  <c r="AY110"/>
  <c r="AW110"/>
  <c r="AV110"/>
  <c r="AU110"/>
  <c r="AS110"/>
  <c r="AR110"/>
  <c r="AQ110"/>
  <c r="AO110"/>
  <c r="AN110"/>
  <c r="AM110"/>
  <c r="AK110"/>
  <c r="AJ110"/>
  <c r="AH110"/>
  <c r="AF110"/>
  <c r="AE110"/>
  <c r="AD110"/>
  <c r="AC110"/>
  <c r="AB110"/>
  <c r="AA110"/>
  <c r="Z110"/>
  <c r="Y110"/>
  <c r="X110"/>
  <c r="BL109"/>
  <c r="BK109"/>
  <c r="BI109"/>
  <c r="BH109"/>
  <c r="BG109"/>
  <c r="BE109"/>
  <c r="BD109"/>
  <c r="BC109"/>
  <c r="BA109"/>
  <c r="AZ109"/>
  <c r="AY109"/>
  <c r="AW109"/>
  <c r="AV109"/>
  <c r="AU109"/>
  <c r="AS109"/>
  <c r="AR109"/>
  <c r="AQ109"/>
  <c r="AO109"/>
  <c r="AN109"/>
  <c r="AM109"/>
  <c r="AK109"/>
  <c r="AJ109"/>
  <c r="AH109"/>
  <c r="AF109"/>
  <c r="AE109"/>
  <c r="AD109"/>
  <c r="AC109"/>
  <c r="AB109"/>
  <c r="AA109"/>
  <c r="Z109"/>
  <c r="Y109"/>
  <c r="X109"/>
  <c r="BL108"/>
  <c r="BK108"/>
  <c r="BI108"/>
  <c r="BH108"/>
  <c r="BG108"/>
  <c r="BE108"/>
  <c r="BD108"/>
  <c r="BC108"/>
  <c r="BA108"/>
  <c r="AZ108"/>
  <c r="AY108"/>
  <c r="AW108"/>
  <c r="AV108"/>
  <c r="AU108"/>
  <c r="AS108"/>
  <c r="AR108"/>
  <c r="AQ108"/>
  <c r="AO108"/>
  <c r="AN108"/>
  <c r="AM108"/>
  <c r="AK108"/>
  <c r="AJ108"/>
  <c r="AH108"/>
  <c r="AF108"/>
  <c r="AE108"/>
  <c r="AD108"/>
  <c r="AC108"/>
  <c r="AB108"/>
  <c r="AA108"/>
  <c r="Z108"/>
  <c r="Y108"/>
  <c r="X108"/>
  <c r="BL107"/>
  <c r="BK107"/>
  <c r="BI107"/>
  <c r="BH107"/>
  <c r="BG107"/>
  <c r="BE107"/>
  <c r="BD107"/>
  <c r="BC107"/>
  <c r="BA107"/>
  <c r="AZ107"/>
  <c r="AY107"/>
  <c r="AW107"/>
  <c r="AV107"/>
  <c r="AU107"/>
  <c r="AS107"/>
  <c r="AR107"/>
  <c r="AQ107"/>
  <c r="AO107"/>
  <c r="AN107"/>
  <c r="AM107"/>
  <c r="AK107"/>
  <c r="AJ107"/>
  <c r="AH107"/>
  <c r="AF107"/>
  <c r="AE107"/>
  <c r="AD107"/>
  <c r="AC107"/>
  <c r="AB107"/>
  <c r="AA107"/>
  <c r="Z107"/>
  <c r="Y107"/>
  <c r="X107"/>
  <c r="BL106"/>
  <c r="BK106"/>
  <c r="BI106"/>
  <c r="BH106"/>
  <c r="BG106"/>
  <c r="BE106"/>
  <c r="BD106"/>
  <c r="BC106"/>
  <c r="BA106"/>
  <c r="AZ106"/>
  <c r="AY106"/>
  <c r="AW106"/>
  <c r="AV106"/>
  <c r="AU106"/>
  <c r="AS106"/>
  <c r="AR106"/>
  <c r="AQ106"/>
  <c r="AO106"/>
  <c r="AN106"/>
  <c r="AM106"/>
  <c r="AK106"/>
  <c r="AJ106"/>
  <c r="AH106"/>
  <c r="AF106"/>
  <c r="AE106"/>
  <c r="AD106"/>
  <c r="AC106"/>
  <c r="AB106"/>
  <c r="AA106"/>
  <c r="Z106"/>
  <c r="Y106"/>
  <c r="X106"/>
  <c r="BL105"/>
  <c r="BK105"/>
  <c r="BI105"/>
  <c r="BH105"/>
  <c r="BG105"/>
  <c r="BE105"/>
  <c r="BD105"/>
  <c r="BC105"/>
  <c r="BA105"/>
  <c r="AZ105"/>
  <c r="AY105"/>
  <c r="AW105"/>
  <c r="AV105"/>
  <c r="AU105"/>
  <c r="AS105"/>
  <c r="AR105"/>
  <c r="AQ105"/>
  <c r="AO105"/>
  <c r="AN105"/>
  <c r="AM105"/>
  <c r="AK105"/>
  <c r="AJ105"/>
  <c r="AH105"/>
  <c r="AF105"/>
  <c r="AE105"/>
  <c r="AD105"/>
  <c r="AC105"/>
  <c r="AB105"/>
  <c r="AA105"/>
  <c r="Z105"/>
  <c r="Y105"/>
  <c r="X105"/>
  <c r="BL104"/>
  <c r="BK104"/>
  <c r="BI104"/>
  <c r="BH104"/>
  <c r="BG104"/>
  <c r="BE104"/>
  <c r="BD104"/>
  <c r="BC104"/>
  <c r="BA104"/>
  <c r="AZ104"/>
  <c r="AY104"/>
  <c r="AW104"/>
  <c r="AV104"/>
  <c r="AU104"/>
  <c r="AS104"/>
  <c r="AR104"/>
  <c r="AQ104"/>
  <c r="AO104"/>
  <c r="AN104"/>
  <c r="AM104"/>
  <c r="AK104"/>
  <c r="AJ104"/>
  <c r="AH104"/>
  <c r="AF104"/>
  <c r="AE104"/>
  <c r="AD104"/>
  <c r="AC104"/>
  <c r="AB104"/>
  <c r="AA104"/>
  <c r="Z104"/>
  <c r="Y104"/>
  <c r="X104"/>
  <c r="BL103"/>
  <c r="BK103"/>
  <c r="BI103"/>
  <c r="BH103"/>
  <c r="BG103"/>
  <c r="BE103"/>
  <c r="BD103"/>
  <c r="BC103"/>
  <c r="BA103"/>
  <c r="AZ103"/>
  <c r="AY103"/>
  <c r="AW103"/>
  <c r="AV103"/>
  <c r="AU103"/>
  <c r="AS103"/>
  <c r="AR103"/>
  <c r="AQ103"/>
  <c r="AO103"/>
  <c r="AN103"/>
  <c r="AM103"/>
  <c r="AK103"/>
  <c r="AJ103"/>
  <c r="AH103"/>
  <c r="AF103"/>
  <c r="AE103"/>
  <c r="AD103"/>
  <c r="AC103"/>
  <c r="AB103"/>
  <c r="AA103"/>
  <c r="Z103"/>
  <c r="Y103"/>
  <c r="X103"/>
  <c r="BL102"/>
  <c r="BK102"/>
  <c r="BI102"/>
  <c r="BH102"/>
  <c r="BG102"/>
  <c r="BE102"/>
  <c r="BD102"/>
  <c r="BC102"/>
  <c r="BA102"/>
  <c r="AZ102"/>
  <c r="AY102"/>
  <c r="AW102"/>
  <c r="AV102"/>
  <c r="AU102"/>
  <c r="AS102"/>
  <c r="AR102"/>
  <c r="AQ102"/>
  <c r="AO102"/>
  <c r="AN102"/>
  <c r="AM102"/>
  <c r="AK102"/>
  <c r="AJ102"/>
  <c r="AH102"/>
  <c r="AF102"/>
  <c r="AE102"/>
  <c r="AD102"/>
  <c r="AC102"/>
  <c r="AB102"/>
  <c r="AA102"/>
  <c r="Z102"/>
  <c r="Y102"/>
  <c r="X102"/>
  <c r="BL101"/>
  <c r="BK101"/>
  <c r="BI101"/>
  <c r="BH101"/>
  <c r="BG101"/>
  <c r="BE101"/>
  <c r="BD101"/>
  <c r="BC101"/>
  <c r="BA101"/>
  <c r="AZ101"/>
  <c r="AY101"/>
  <c r="AW101"/>
  <c r="AV101"/>
  <c r="AU101"/>
  <c r="AS101"/>
  <c r="AR101"/>
  <c r="AQ101"/>
  <c r="AO101"/>
  <c r="AN101"/>
  <c r="AM101"/>
  <c r="AK101"/>
  <c r="AJ101"/>
  <c r="AH101"/>
  <c r="AF101"/>
  <c r="AE101"/>
  <c r="AD101"/>
  <c r="AC101"/>
  <c r="AB101"/>
  <c r="AA101"/>
  <c r="Z101"/>
  <c r="Y101"/>
  <c r="X101"/>
  <c r="BL100"/>
  <c r="BK100"/>
  <c r="BI100"/>
  <c r="BH100"/>
  <c r="BG100"/>
  <c r="BE100"/>
  <c r="BD100"/>
  <c r="BC100"/>
  <c r="BA100"/>
  <c r="AZ100"/>
  <c r="AY100"/>
  <c r="AW100"/>
  <c r="AV100"/>
  <c r="AU100"/>
  <c r="AS100"/>
  <c r="AR100"/>
  <c r="AQ100"/>
  <c r="AO100"/>
  <c r="AN100"/>
  <c r="AM100"/>
  <c r="AK100"/>
  <c r="AJ100"/>
  <c r="AH100"/>
  <c r="AF100"/>
  <c r="AE100"/>
  <c r="AD100"/>
  <c r="AC100"/>
  <c r="AB100"/>
  <c r="AA100"/>
  <c r="Z100"/>
  <c r="Y100"/>
  <c r="X100"/>
  <c r="BL99"/>
  <c r="BK99"/>
  <c r="BI99"/>
  <c r="BH99"/>
  <c r="BG99"/>
  <c r="BE99"/>
  <c r="BD99"/>
  <c r="BC99"/>
  <c r="BA99"/>
  <c r="AZ99"/>
  <c r="AY99"/>
  <c r="AW99"/>
  <c r="AV99"/>
  <c r="AU99"/>
  <c r="AS99"/>
  <c r="AR99"/>
  <c r="AQ99"/>
  <c r="AO99"/>
  <c r="AN99"/>
  <c r="AM99"/>
  <c r="AK99"/>
  <c r="AJ99"/>
  <c r="AH99"/>
  <c r="AF99"/>
  <c r="AE99"/>
  <c r="AD99"/>
  <c r="AC99"/>
  <c r="AB99"/>
  <c r="AA99"/>
  <c r="Z99"/>
  <c r="Y99"/>
  <c r="X99"/>
  <c r="BL98"/>
  <c r="BK98"/>
  <c r="BI98"/>
  <c r="BH98"/>
  <c r="BG98"/>
  <c r="BE98"/>
  <c r="BD98"/>
  <c r="BC98"/>
  <c r="BA98"/>
  <c r="AZ98"/>
  <c r="AY98"/>
  <c r="AW98"/>
  <c r="AV98"/>
  <c r="AU98"/>
  <c r="AS98"/>
  <c r="AR98"/>
  <c r="AQ98"/>
  <c r="AO98"/>
  <c r="AN98"/>
  <c r="AM98"/>
  <c r="AK98"/>
  <c r="AJ98"/>
  <c r="AH98"/>
  <c r="AF98"/>
  <c r="AE98"/>
  <c r="AD98"/>
  <c r="AC98"/>
  <c r="AB98"/>
  <c r="AA98"/>
  <c r="Z98"/>
  <c r="Y98"/>
  <c r="X98"/>
  <c r="BL97"/>
  <c r="BK97"/>
  <c r="BI97"/>
  <c r="BH97"/>
  <c r="BG97"/>
  <c r="BE97"/>
  <c r="BD97"/>
  <c r="BC97"/>
  <c r="BA97"/>
  <c r="AZ97"/>
  <c r="AY97"/>
  <c r="AW97"/>
  <c r="AV97"/>
  <c r="AU97"/>
  <c r="AS97"/>
  <c r="AR97"/>
  <c r="AQ97"/>
  <c r="AO97"/>
  <c r="AN97"/>
  <c r="AM97"/>
  <c r="AK97"/>
  <c r="AJ97"/>
  <c r="AH97"/>
  <c r="AF97"/>
  <c r="AE97"/>
  <c r="AD97"/>
  <c r="AC97"/>
  <c r="AB97"/>
  <c r="AA97"/>
  <c r="Z97"/>
  <c r="Y97"/>
  <c r="X97"/>
  <c r="BL96"/>
  <c r="BK96"/>
  <c r="BI96"/>
  <c r="BH96"/>
  <c r="BG96"/>
  <c r="BE96"/>
  <c r="BD96"/>
  <c r="BC96"/>
  <c r="BA96"/>
  <c r="AZ96"/>
  <c r="AY96"/>
  <c r="AW96"/>
  <c r="AV96"/>
  <c r="AU96"/>
  <c r="AS96"/>
  <c r="AR96"/>
  <c r="AQ96"/>
  <c r="AO96"/>
  <c r="AN96"/>
  <c r="AM96"/>
  <c r="AK96"/>
  <c r="AJ96"/>
  <c r="AH96"/>
  <c r="AF96"/>
  <c r="AE96"/>
  <c r="AD96"/>
  <c r="AC96"/>
  <c r="AB96"/>
  <c r="AA96"/>
  <c r="Z96"/>
  <c r="Y96"/>
  <c r="X96"/>
  <c r="BL95"/>
  <c r="BK95"/>
  <c r="BI95"/>
  <c r="BH95"/>
  <c r="BG95"/>
  <c r="BE95"/>
  <c r="BD95"/>
  <c r="BC95"/>
  <c r="BA95"/>
  <c r="AZ95"/>
  <c r="AY95"/>
  <c r="AW95"/>
  <c r="AV95"/>
  <c r="AU95"/>
  <c r="AS95"/>
  <c r="AR95"/>
  <c r="AQ95"/>
  <c r="AO95"/>
  <c r="AN95"/>
  <c r="AM95"/>
  <c r="AK95"/>
  <c r="AJ95"/>
  <c r="AH95"/>
  <c r="AF95"/>
  <c r="AE95"/>
  <c r="AD95"/>
  <c r="AC95"/>
  <c r="AB95"/>
  <c r="AA95"/>
  <c r="Z95"/>
  <c r="Y95"/>
  <c r="X95"/>
  <c r="BL94"/>
  <c r="BK94"/>
  <c r="BI94"/>
  <c r="BH94"/>
  <c r="BG94"/>
  <c r="BE94"/>
  <c r="BD94"/>
  <c r="BC94"/>
  <c r="BA94"/>
  <c r="AZ94"/>
  <c r="AY94"/>
  <c r="AW94"/>
  <c r="AV94"/>
  <c r="AU94"/>
  <c r="AS94"/>
  <c r="AR94"/>
  <c r="AQ94"/>
  <c r="AO94"/>
  <c r="AN94"/>
  <c r="AM94"/>
  <c r="AK94"/>
  <c r="AJ94"/>
  <c r="AH94"/>
  <c r="AF94"/>
  <c r="AE94"/>
  <c r="AD94"/>
  <c r="AC94"/>
  <c r="AB94"/>
  <c r="AA94"/>
  <c r="Z94"/>
  <c r="Y94"/>
  <c r="X94"/>
  <c r="BL93"/>
  <c r="BK93"/>
  <c r="BI93"/>
  <c r="BH93"/>
  <c r="BG93"/>
  <c r="BE93"/>
  <c r="BD93"/>
  <c r="BC93"/>
  <c r="BA93"/>
  <c r="AZ93"/>
  <c r="AY93"/>
  <c r="AW93"/>
  <c r="AV93"/>
  <c r="AU93"/>
  <c r="AS93"/>
  <c r="AR93"/>
  <c r="AQ93"/>
  <c r="AO93"/>
  <c r="AN93"/>
  <c r="AM93"/>
  <c r="AK93"/>
  <c r="AJ93"/>
  <c r="AH93"/>
  <c r="AF93"/>
  <c r="AE93"/>
  <c r="AD93"/>
  <c r="AC93"/>
  <c r="AB93"/>
  <c r="AA93"/>
  <c r="Z93"/>
  <c r="Y93"/>
  <c r="X93"/>
  <c r="BL92"/>
  <c r="BK92"/>
  <c r="BI92"/>
  <c r="BH92"/>
  <c r="BG92"/>
  <c r="BE92"/>
  <c r="BD92"/>
  <c r="BC92"/>
  <c r="BA92"/>
  <c r="AZ92"/>
  <c r="AY92"/>
  <c r="AW92"/>
  <c r="AV92"/>
  <c r="AU92"/>
  <c r="AS92"/>
  <c r="AR92"/>
  <c r="AQ92"/>
  <c r="AO92"/>
  <c r="AN92"/>
  <c r="AM92"/>
  <c r="AK92"/>
  <c r="AJ92"/>
  <c r="AH92"/>
  <c r="AF92"/>
  <c r="AE92"/>
  <c r="AD92"/>
  <c r="AC92"/>
  <c r="AB92"/>
  <c r="AA92"/>
  <c r="Z92"/>
  <c r="Y92"/>
  <c r="X92"/>
  <c r="BL91"/>
  <c r="BK91"/>
  <c r="BI91"/>
  <c r="BH91"/>
  <c r="BG91"/>
  <c r="BE91"/>
  <c r="BD91"/>
  <c r="BC91"/>
  <c r="BA91"/>
  <c r="AZ91"/>
  <c r="AY91"/>
  <c r="AW91"/>
  <c r="AV91"/>
  <c r="AU91"/>
  <c r="AS91"/>
  <c r="AR91"/>
  <c r="AQ91"/>
  <c r="AO91"/>
  <c r="AN91"/>
  <c r="AM91"/>
  <c r="AK91"/>
  <c r="AJ91"/>
  <c r="AH91"/>
  <c r="AF91"/>
  <c r="AE91"/>
  <c r="AD91"/>
  <c r="AC91"/>
  <c r="AB91"/>
  <c r="AA91"/>
  <c r="Z91"/>
  <c r="Y91"/>
  <c r="X91"/>
  <c r="BL90"/>
  <c r="BK90"/>
  <c r="BI90"/>
  <c r="BH90"/>
  <c r="BG90"/>
  <c r="BE90"/>
  <c r="BD90"/>
  <c r="BC90"/>
  <c r="BA90"/>
  <c r="AZ90"/>
  <c r="AY90"/>
  <c r="AW90"/>
  <c r="AV90"/>
  <c r="AU90"/>
  <c r="AS90"/>
  <c r="AR90"/>
  <c r="AQ90"/>
  <c r="AO90"/>
  <c r="AN90"/>
  <c r="AM90"/>
  <c r="AK90"/>
  <c r="AJ90"/>
  <c r="AH90"/>
  <c r="AF90"/>
  <c r="AE90"/>
  <c r="AD90"/>
  <c r="AC90"/>
  <c r="AB90"/>
  <c r="AA90"/>
  <c r="Z90"/>
  <c r="Y90"/>
  <c r="X90"/>
  <c r="BL89"/>
  <c r="BK89"/>
  <c r="BI89"/>
  <c r="BH89"/>
  <c r="BG89"/>
  <c r="BE89"/>
  <c r="BD89"/>
  <c r="BC89"/>
  <c r="BA89"/>
  <c r="AZ89"/>
  <c r="AY89"/>
  <c r="AW89"/>
  <c r="AV89"/>
  <c r="AU89"/>
  <c r="AS89"/>
  <c r="AR89"/>
  <c r="AQ89"/>
  <c r="AO89"/>
  <c r="AN89"/>
  <c r="AM89"/>
  <c r="AK89"/>
  <c r="AJ89"/>
  <c r="AH89"/>
  <c r="AF89"/>
  <c r="AE89"/>
  <c r="AD89"/>
  <c r="AC89"/>
  <c r="AB89"/>
  <c r="AA89"/>
  <c r="Z89"/>
  <c r="Y89"/>
  <c r="X89"/>
  <c r="BL88"/>
  <c r="BK88"/>
  <c r="BI88"/>
  <c r="BH88"/>
  <c r="BG88"/>
  <c r="BE88"/>
  <c r="BD88"/>
  <c r="BC88"/>
  <c r="BA88"/>
  <c r="AZ88"/>
  <c r="AY88"/>
  <c r="AW88"/>
  <c r="AV88"/>
  <c r="AU88"/>
  <c r="AS88"/>
  <c r="AR88"/>
  <c r="AQ88"/>
  <c r="AO88"/>
  <c r="AN88"/>
  <c r="AM88"/>
  <c r="AK88"/>
  <c r="AJ88"/>
  <c r="AH88"/>
  <c r="AF88"/>
  <c r="AE88"/>
  <c r="AD88"/>
  <c r="AC88"/>
  <c r="AB88"/>
  <c r="AA88"/>
  <c r="Z88"/>
  <c r="Y88"/>
  <c r="X88"/>
  <c r="BL87"/>
  <c r="BK87"/>
  <c r="BI87"/>
  <c r="BH87"/>
  <c r="BG87"/>
  <c r="BE87"/>
  <c r="BD87"/>
  <c r="BC87"/>
  <c r="BA87"/>
  <c r="AZ87"/>
  <c r="AY87"/>
  <c r="AW87"/>
  <c r="AV87"/>
  <c r="AU87"/>
  <c r="AS87"/>
  <c r="AR87"/>
  <c r="AQ87"/>
  <c r="AO87"/>
  <c r="AN87"/>
  <c r="AM87"/>
  <c r="AK87"/>
  <c r="AJ87"/>
  <c r="AH87"/>
  <c r="AF87"/>
  <c r="AE87"/>
  <c r="AD87"/>
  <c r="AC87"/>
  <c r="AB87"/>
  <c r="AA87"/>
  <c r="Z87"/>
  <c r="Y87"/>
  <c r="X87"/>
  <c r="BL86"/>
  <c r="BK86"/>
  <c r="BI86"/>
  <c r="BH86"/>
  <c r="BG86"/>
  <c r="BE86"/>
  <c r="BD86"/>
  <c r="BC86"/>
  <c r="BA86"/>
  <c r="AZ86"/>
  <c r="AY86"/>
  <c r="AW86"/>
  <c r="AV86"/>
  <c r="AU86"/>
  <c r="AS86"/>
  <c r="AR86"/>
  <c r="AQ86"/>
  <c r="AO86"/>
  <c r="AN86"/>
  <c r="AM86"/>
  <c r="AK86"/>
  <c r="AJ86"/>
  <c r="AH86"/>
  <c r="AF86"/>
  <c r="AE86"/>
  <c r="AD86"/>
  <c r="AC86"/>
  <c r="AB86"/>
  <c r="AA86"/>
  <c r="Z86"/>
  <c r="Y86"/>
  <c r="X86"/>
  <c r="BL85"/>
  <c r="BK85"/>
  <c r="BI85"/>
  <c r="BH85"/>
  <c r="BG85"/>
  <c r="BE85"/>
  <c r="BD85"/>
  <c r="BC85"/>
  <c r="BA85"/>
  <c r="AZ85"/>
  <c r="AY85"/>
  <c r="AW85"/>
  <c r="AV85"/>
  <c r="AU85"/>
  <c r="AS85"/>
  <c r="AR85"/>
  <c r="AQ85"/>
  <c r="AO85"/>
  <c r="AN85"/>
  <c r="AM85"/>
  <c r="AK85"/>
  <c r="AJ85"/>
  <c r="AH85"/>
  <c r="AF85"/>
  <c r="AE85"/>
  <c r="AD85"/>
  <c r="AC85"/>
  <c r="AB85"/>
  <c r="AA85"/>
  <c r="Z85"/>
  <c r="Y85"/>
  <c r="X85"/>
  <c r="BL84"/>
  <c r="BK84"/>
  <c r="BI84"/>
  <c r="BH84"/>
  <c r="BG84"/>
  <c r="BE84"/>
  <c r="BD84"/>
  <c r="BC84"/>
  <c r="BA84"/>
  <c r="AZ84"/>
  <c r="AY84"/>
  <c r="AW84"/>
  <c r="AV84"/>
  <c r="AU84"/>
  <c r="AS84"/>
  <c r="AR84"/>
  <c r="AQ84"/>
  <c r="AO84"/>
  <c r="AN84"/>
  <c r="AM84"/>
  <c r="AK84"/>
  <c r="AJ84"/>
  <c r="AH84"/>
  <c r="AF84"/>
  <c r="AE84"/>
  <c r="AD84"/>
  <c r="AC84"/>
  <c r="AB84"/>
  <c r="AA84"/>
  <c r="Z84"/>
  <c r="Y84"/>
  <c r="X84"/>
  <c r="BL83"/>
  <c r="BK83"/>
  <c r="BI83"/>
  <c r="BH83"/>
  <c r="BG83"/>
  <c r="BE83"/>
  <c r="BD83"/>
  <c r="BC83"/>
  <c r="BA83"/>
  <c r="AZ83"/>
  <c r="AY83"/>
  <c r="AW83"/>
  <c r="AV83"/>
  <c r="AU83"/>
  <c r="AS83"/>
  <c r="AR83"/>
  <c r="AQ83"/>
  <c r="AO83"/>
  <c r="AN83"/>
  <c r="AM83"/>
  <c r="AK83"/>
  <c r="AJ83"/>
  <c r="AH83"/>
  <c r="AF83"/>
  <c r="AE83"/>
  <c r="AD83"/>
  <c r="AC83"/>
  <c r="AB83"/>
  <c r="AA83"/>
  <c r="Z83"/>
  <c r="Y83"/>
  <c r="X83"/>
  <c r="BL82"/>
  <c r="BK82"/>
  <c r="BI82"/>
  <c r="BH82"/>
  <c r="BG82"/>
  <c r="BE82"/>
  <c r="BD82"/>
  <c r="BC82"/>
  <c r="BA82"/>
  <c r="AZ82"/>
  <c r="AY82"/>
  <c r="AW82"/>
  <c r="AV82"/>
  <c r="AU82"/>
  <c r="AS82"/>
  <c r="AR82"/>
  <c r="AQ82"/>
  <c r="AO82"/>
  <c r="AN82"/>
  <c r="AM82"/>
  <c r="AK82"/>
  <c r="AJ82"/>
  <c r="AH82"/>
  <c r="AF82"/>
  <c r="AE82"/>
  <c r="AD82"/>
  <c r="AC82"/>
  <c r="AB82"/>
  <c r="AA82"/>
  <c r="Z82"/>
  <c r="Y82"/>
  <c r="X82"/>
  <c r="BL81"/>
  <c r="BK81"/>
  <c r="BI81"/>
  <c r="BH81"/>
  <c r="BG81"/>
  <c r="BE81"/>
  <c r="BD81"/>
  <c r="BC81"/>
  <c r="BA81"/>
  <c r="AZ81"/>
  <c r="AY81"/>
  <c r="AW81"/>
  <c r="AV81"/>
  <c r="AU81"/>
  <c r="AS81"/>
  <c r="AR81"/>
  <c r="AQ81"/>
  <c r="AO81"/>
  <c r="AN81"/>
  <c r="AM81"/>
  <c r="AK81"/>
  <c r="AJ81"/>
  <c r="AH81"/>
  <c r="AF81"/>
  <c r="AE81"/>
  <c r="AD81"/>
  <c r="AC81"/>
  <c r="AB81"/>
  <c r="AA81"/>
  <c r="Z81"/>
  <c r="Y81"/>
  <c r="X81"/>
  <c r="BL80"/>
  <c r="BK80"/>
  <c r="BI80"/>
  <c r="BH80"/>
  <c r="BG80"/>
  <c r="BE80"/>
  <c r="BD80"/>
  <c r="BC80"/>
  <c r="BA80"/>
  <c r="AZ80"/>
  <c r="AY80"/>
  <c r="AW80"/>
  <c r="AV80"/>
  <c r="AU80"/>
  <c r="AS80"/>
  <c r="AR80"/>
  <c r="AQ80"/>
  <c r="AO80"/>
  <c r="AN80"/>
  <c r="AM80"/>
  <c r="AK80"/>
  <c r="AJ80"/>
  <c r="AH80"/>
  <c r="AF80"/>
  <c r="AE80"/>
  <c r="AD80"/>
  <c r="AC80"/>
  <c r="AB80"/>
  <c r="AA80"/>
  <c r="Z80"/>
  <c r="Y80"/>
  <c r="X80"/>
  <c r="BL79"/>
  <c r="BK79"/>
  <c r="BI79"/>
  <c r="BH79"/>
  <c r="BG79"/>
  <c r="BE79"/>
  <c r="BD79"/>
  <c r="BC79"/>
  <c r="BA79"/>
  <c r="AZ79"/>
  <c r="AY79"/>
  <c r="AW79"/>
  <c r="AV79"/>
  <c r="AU79"/>
  <c r="AS79"/>
  <c r="AR79"/>
  <c r="AQ79"/>
  <c r="AO79"/>
  <c r="AN79"/>
  <c r="AM79"/>
  <c r="AK79"/>
  <c r="AJ79"/>
  <c r="AH79"/>
  <c r="AF79"/>
  <c r="AE79"/>
  <c r="AD79"/>
  <c r="AC79"/>
  <c r="AB79"/>
  <c r="AA79"/>
  <c r="Z79"/>
  <c r="Y79"/>
  <c r="X79"/>
  <c r="BL78"/>
  <c r="BK78"/>
  <c r="BI78"/>
  <c r="BH78"/>
  <c r="BG78"/>
  <c r="BE78"/>
  <c r="BD78"/>
  <c r="BC78"/>
  <c r="BA78"/>
  <c r="AZ78"/>
  <c r="AY78"/>
  <c r="AW78"/>
  <c r="AV78"/>
  <c r="AU78"/>
  <c r="AS78"/>
  <c r="AR78"/>
  <c r="AQ78"/>
  <c r="AO78"/>
  <c r="AN78"/>
  <c r="AM78"/>
  <c r="AK78"/>
  <c r="AJ78"/>
  <c r="AH78"/>
  <c r="AF78"/>
  <c r="AE78"/>
  <c r="AD78"/>
  <c r="AC78"/>
  <c r="AB78"/>
  <c r="AA78"/>
  <c r="Z78"/>
  <c r="Y78"/>
  <c r="X78"/>
  <c r="BL77"/>
  <c r="BK77"/>
  <c r="BI77"/>
  <c r="BH77"/>
  <c r="BG77"/>
  <c r="BE77"/>
  <c r="BD77"/>
  <c r="BC77"/>
  <c r="BA77"/>
  <c r="AZ77"/>
  <c r="AY77"/>
  <c r="AW77"/>
  <c r="AV77"/>
  <c r="AU77"/>
  <c r="AS77"/>
  <c r="AR77"/>
  <c r="AQ77"/>
  <c r="AO77"/>
  <c r="AN77"/>
  <c r="AM77"/>
  <c r="AK77"/>
  <c r="AJ77"/>
  <c r="AH77"/>
  <c r="AF77"/>
  <c r="AE77"/>
  <c r="AD77"/>
  <c r="AC77"/>
  <c r="AB77"/>
  <c r="AA77"/>
  <c r="Z77"/>
  <c r="Y77"/>
  <c r="X77"/>
  <c r="BL76"/>
  <c r="BK76"/>
  <c r="BI76"/>
  <c r="BH76"/>
  <c r="BG76"/>
  <c r="BE76"/>
  <c r="BD76"/>
  <c r="BC76"/>
  <c r="BA76"/>
  <c r="AZ76"/>
  <c r="AY76"/>
  <c r="AW76"/>
  <c r="AV76"/>
  <c r="AU76"/>
  <c r="AS76"/>
  <c r="AR76"/>
  <c r="AQ76"/>
  <c r="AO76"/>
  <c r="AN76"/>
  <c r="AM76"/>
  <c r="AK76"/>
  <c r="AJ76"/>
  <c r="AH76"/>
  <c r="AF76"/>
  <c r="AE76"/>
  <c r="AD76"/>
  <c r="AC76"/>
  <c r="AB76"/>
  <c r="AA76"/>
  <c r="Z76"/>
  <c r="Y76"/>
  <c r="X76"/>
  <c r="BL75"/>
  <c r="BK75"/>
  <c r="BI75"/>
  <c r="BH75"/>
  <c r="BG75"/>
  <c r="BE75"/>
  <c r="BD75"/>
  <c r="BC75"/>
  <c r="BA75"/>
  <c r="AZ75"/>
  <c r="AY75"/>
  <c r="AW75"/>
  <c r="AV75"/>
  <c r="AU75"/>
  <c r="AS75"/>
  <c r="AR75"/>
  <c r="AQ75"/>
  <c r="AO75"/>
  <c r="AN75"/>
  <c r="AM75"/>
  <c r="AK75"/>
  <c r="AJ75"/>
  <c r="AH75"/>
  <c r="AF75"/>
  <c r="AE75"/>
  <c r="AD75"/>
  <c r="AC75"/>
  <c r="AB75"/>
  <c r="AA75"/>
  <c r="Z75"/>
  <c r="Y75"/>
  <c r="X75"/>
  <c r="BL74"/>
  <c r="BK74"/>
  <c r="BI74"/>
  <c r="BH74"/>
  <c r="BG74"/>
  <c r="BE74"/>
  <c r="BD74"/>
  <c r="BC74"/>
  <c r="BA74"/>
  <c r="AZ74"/>
  <c r="AY74"/>
  <c r="AW74"/>
  <c r="AV74"/>
  <c r="AU74"/>
  <c r="AS74"/>
  <c r="AR74"/>
  <c r="AQ74"/>
  <c r="AO74"/>
  <c r="AN74"/>
  <c r="AM74"/>
  <c r="AK74"/>
  <c r="AJ74"/>
  <c r="AH74"/>
  <c r="AF74"/>
  <c r="AE74"/>
  <c r="AD74"/>
  <c r="AC74"/>
  <c r="AB74"/>
  <c r="AA74"/>
  <c r="Z74"/>
  <c r="Y74"/>
  <c r="X74"/>
  <c r="BL73"/>
  <c r="BK73"/>
  <c r="BI73"/>
  <c r="BH73"/>
  <c r="BG73"/>
  <c r="BE73"/>
  <c r="BD73"/>
  <c r="BC73"/>
  <c r="BA73"/>
  <c r="AZ73"/>
  <c r="AY73"/>
  <c r="AW73"/>
  <c r="AV73"/>
  <c r="AU73"/>
  <c r="AS73"/>
  <c r="AR73"/>
  <c r="AQ73"/>
  <c r="AO73"/>
  <c r="AN73"/>
  <c r="AM73"/>
  <c r="AK73"/>
  <c r="AJ73"/>
  <c r="AH73"/>
  <c r="AF73"/>
  <c r="AE73"/>
  <c r="AD73"/>
  <c r="AC73"/>
  <c r="AB73"/>
  <c r="AA73"/>
  <c r="Z73"/>
  <c r="Y73"/>
  <c r="X73"/>
  <c r="BL72"/>
  <c r="BK72"/>
  <c r="BI72"/>
  <c r="BH72"/>
  <c r="BG72"/>
  <c r="BE72"/>
  <c r="BD72"/>
  <c r="BC72"/>
  <c r="BA72"/>
  <c r="AZ72"/>
  <c r="AY72"/>
  <c r="AW72"/>
  <c r="AV72"/>
  <c r="AU72"/>
  <c r="AS72"/>
  <c r="AR72"/>
  <c r="AQ72"/>
  <c r="AO72"/>
  <c r="AN72"/>
  <c r="AM72"/>
  <c r="AK72"/>
  <c r="AJ72"/>
  <c r="AH72"/>
  <c r="AF72"/>
  <c r="AE72"/>
  <c r="AD72"/>
  <c r="AC72"/>
  <c r="AB72"/>
  <c r="AA72"/>
  <c r="Z72"/>
  <c r="Y72"/>
  <c r="X72"/>
  <c r="BL71"/>
  <c r="BK71"/>
  <c r="BI71"/>
  <c r="BH71"/>
  <c r="BG71"/>
  <c r="BE71"/>
  <c r="BD71"/>
  <c r="BC71"/>
  <c r="BA71"/>
  <c r="AZ71"/>
  <c r="AY71"/>
  <c r="AW71"/>
  <c r="AV71"/>
  <c r="AU71"/>
  <c r="AS71"/>
  <c r="AR71"/>
  <c r="AQ71"/>
  <c r="AO71"/>
  <c r="AN71"/>
  <c r="AM71"/>
  <c r="AK71"/>
  <c r="AJ71"/>
  <c r="AH71"/>
  <c r="AF71"/>
  <c r="AE71"/>
  <c r="AD71"/>
  <c r="AC71"/>
  <c r="AB71"/>
  <c r="AA71"/>
  <c r="Z71"/>
  <c r="Y71"/>
  <c r="X71"/>
  <c r="BL70"/>
  <c r="BK70"/>
  <c r="BI70"/>
  <c r="BH70"/>
  <c r="BG70"/>
  <c r="BE70"/>
  <c r="BD70"/>
  <c r="BC70"/>
  <c r="BA70"/>
  <c r="AZ70"/>
  <c r="AY70"/>
  <c r="AW70"/>
  <c r="AV70"/>
  <c r="AU70"/>
  <c r="AS70"/>
  <c r="AR70"/>
  <c r="AQ70"/>
  <c r="AO70"/>
  <c r="AN70"/>
  <c r="AM70"/>
  <c r="AK70"/>
  <c r="AJ70"/>
  <c r="AH70"/>
  <c r="AF70"/>
  <c r="AE70"/>
  <c r="AD70"/>
  <c r="AC70"/>
  <c r="AB70"/>
  <c r="AA70"/>
  <c r="Z70"/>
  <c r="Y70"/>
  <c r="X70"/>
  <c r="BL69"/>
  <c r="BK69"/>
  <c r="BI69"/>
  <c r="BH69"/>
  <c r="BG69"/>
  <c r="BE69"/>
  <c r="BD69"/>
  <c r="BC69"/>
  <c r="BA69"/>
  <c r="AZ69"/>
  <c r="AY69"/>
  <c r="AW69"/>
  <c r="AV69"/>
  <c r="AU69"/>
  <c r="AS69"/>
  <c r="AR69"/>
  <c r="AQ69"/>
  <c r="AO69"/>
  <c r="AN69"/>
  <c r="AM69"/>
  <c r="AK69"/>
  <c r="AJ69"/>
  <c r="AH69"/>
  <c r="AF69"/>
  <c r="AE69"/>
  <c r="AD69"/>
  <c r="AC69"/>
  <c r="AB69"/>
  <c r="AA69"/>
  <c r="Z69"/>
  <c r="Y69"/>
  <c r="X69"/>
  <c r="BL68"/>
  <c r="BK68"/>
  <c r="BI68"/>
  <c r="BH68"/>
  <c r="BG68"/>
  <c r="BE68"/>
  <c r="BD68"/>
  <c r="BC68"/>
  <c r="BA68"/>
  <c r="AZ68"/>
  <c r="AY68"/>
  <c r="AW68"/>
  <c r="AV68"/>
  <c r="AU68"/>
  <c r="AS68"/>
  <c r="AR68"/>
  <c r="AQ68"/>
  <c r="AO68"/>
  <c r="AN68"/>
  <c r="AM68"/>
  <c r="AK68"/>
  <c r="AJ68"/>
  <c r="AH68"/>
  <c r="AF68"/>
  <c r="AE68"/>
  <c r="AD68"/>
  <c r="AC68"/>
  <c r="AB68"/>
  <c r="AA68"/>
  <c r="Z68"/>
  <c r="Y68"/>
  <c r="X68"/>
  <c r="BL67"/>
  <c r="BK67"/>
  <c r="BI67"/>
  <c r="BH67"/>
  <c r="BG67"/>
  <c r="BE67"/>
  <c r="BD67"/>
  <c r="BC67"/>
  <c r="BA67"/>
  <c r="AZ67"/>
  <c r="AY67"/>
  <c r="AW67"/>
  <c r="AV67"/>
  <c r="AU67"/>
  <c r="AS67"/>
  <c r="AR67"/>
  <c r="AQ67"/>
  <c r="AO67"/>
  <c r="AN67"/>
  <c r="AM67"/>
  <c r="AK67"/>
  <c r="AJ67"/>
  <c r="AH67"/>
  <c r="AF67"/>
  <c r="AE67"/>
  <c r="AD67"/>
  <c r="AC67"/>
  <c r="AB67"/>
  <c r="AA67"/>
  <c r="Z67"/>
  <c r="Y67"/>
  <c r="X67"/>
  <c r="BL66"/>
  <c r="BK66"/>
  <c r="BI66"/>
  <c r="BH66"/>
  <c r="BG66"/>
  <c r="BE66"/>
  <c r="BD66"/>
  <c r="BC66"/>
  <c r="BA66"/>
  <c r="AZ66"/>
  <c r="AY66"/>
  <c r="AW66"/>
  <c r="AV66"/>
  <c r="AU66"/>
  <c r="AS66"/>
  <c r="AR66"/>
  <c r="AQ66"/>
  <c r="AO66"/>
  <c r="AN66"/>
  <c r="AM66"/>
  <c r="AK66"/>
  <c r="AJ66"/>
  <c r="AH66"/>
  <c r="AF66"/>
  <c r="AE66"/>
  <c r="AD66"/>
  <c r="AC66"/>
  <c r="AB66"/>
  <c r="AA66"/>
  <c r="Z66"/>
  <c r="Y66"/>
  <c r="X66"/>
  <c r="BL65"/>
  <c r="BK65"/>
  <c r="BI65"/>
  <c r="BH65"/>
  <c r="BG65"/>
  <c r="BE65"/>
  <c r="BD65"/>
  <c r="BC65"/>
  <c r="BA65"/>
  <c r="AZ65"/>
  <c r="AY65"/>
  <c r="AW65"/>
  <c r="AV65"/>
  <c r="AU65"/>
  <c r="AS65"/>
  <c r="AR65"/>
  <c r="AQ65"/>
  <c r="AO65"/>
  <c r="AN65"/>
  <c r="AM65"/>
  <c r="AK65"/>
  <c r="AJ65"/>
  <c r="AH65"/>
  <c r="AF65"/>
  <c r="AE65"/>
  <c r="AD65"/>
  <c r="AC65"/>
  <c r="AB65"/>
  <c r="AA65"/>
  <c r="Z65"/>
  <c r="Y65"/>
  <c r="X65"/>
  <c r="BL64"/>
  <c r="BK64"/>
  <c r="BI64"/>
  <c r="BH64"/>
  <c r="BG64"/>
  <c r="BE64"/>
  <c r="BD64"/>
  <c r="BC64"/>
  <c r="BA64"/>
  <c r="AZ64"/>
  <c r="AY64"/>
  <c r="AW64"/>
  <c r="AV64"/>
  <c r="AU64"/>
  <c r="AS64"/>
  <c r="AR64"/>
  <c r="AQ64"/>
  <c r="AO64"/>
  <c r="AN64"/>
  <c r="AM64"/>
  <c r="AK64"/>
  <c r="AJ64"/>
  <c r="AH64"/>
  <c r="AF64"/>
  <c r="AE64"/>
  <c r="AD64"/>
  <c r="AC64"/>
  <c r="AB64"/>
  <c r="AA64"/>
  <c r="Z64"/>
  <c r="Y64"/>
  <c r="X64"/>
  <c r="BL63"/>
  <c r="BK63"/>
  <c r="BI63"/>
  <c r="BH63"/>
  <c r="BG63"/>
  <c r="BE63"/>
  <c r="BD63"/>
  <c r="BC63"/>
  <c r="BA63"/>
  <c r="AZ63"/>
  <c r="AY63"/>
  <c r="AW63"/>
  <c r="AV63"/>
  <c r="AU63"/>
  <c r="AS63"/>
  <c r="AR63"/>
  <c r="AQ63"/>
  <c r="AO63"/>
  <c r="AN63"/>
  <c r="AM63"/>
  <c r="AK63"/>
  <c r="AJ63"/>
  <c r="AH63"/>
  <c r="AF63"/>
  <c r="AE63"/>
  <c r="AD63"/>
  <c r="AC63"/>
  <c r="AB63"/>
  <c r="AA63"/>
  <c r="Z63"/>
  <c r="Y63"/>
  <c r="X63"/>
  <c r="BL62"/>
  <c r="BK62"/>
  <c r="BI62"/>
  <c r="BH62"/>
  <c r="BG62"/>
  <c r="BE62"/>
  <c r="BD62"/>
  <c r="BC62"/>
  <c r="BA62"/>
  <c r="AZ62"/>
  <c r="AY62"/>
  <c r="AW62"/>
  <c r="AV62"/>
  <c r="AU62"/>
  <c r="AS62"/>
  <c r="AR62"/>
  <c r="AQ62"/>
  <c r="AO62"/>
  <c r="AN62"/>
  <c r="AM62"/>
  <c r="AK62"/>
  <c r="AJ62"/>
  <c r="AH62"/>
  <c r="AF62"/>
  <c r="AE62"/>
  <c r="AD62"/>
  <c r="AC62"/>
  <c r="AB62"/>
  <c r="AA62"/>
  <c r="Z62"/>
  <c r="Y62"/>
  <c r="X62"/>
  <c r="BL61"/>
  <c r="BK61"/>
  <c r="BI61"/>
  <c r="BH61"/>
  <c r="BG61"/>
  <c r="BE61"/>
  <c r="BD61"/>
  <c r="BC61"/>
  <c r="BA61"/>
  <c r="AZ61"/>
  <c r="AY61"/>
  <c r="AW61"/>
  <c r="AV61"/>
  <c r="AU61"/>
  <c r="AS61"/>
  <c r="AR61"/>
  <c r="AQ61"/>
  <c r="AO61"/>
  <c r="AN61"/>
  <c r="AM61"/>
  <c r="AK61"/>
  <c r="AJ61"/>
  <c r="AH61"/>
  <c r="AF61"/>
  <c r="AE61"/>
  <c r="AD61"/>
  <c r="AC61"/>
  <c r="AB61"/>
  <c r="AA61"/>
  <c r="Z61"/>
  <c r="Y61"/>
  <c r="X61"/>
  <c r="BL60"/>
  <c r="BK60"/>
  <c r="BI60"/>
  <c r="BH60"/>
  <c r="BG60"/>
  <c r="BE60"/>
  <c r="BD60"/>
  <c r="BC60"/>
  <c r="BA60"/>
  <c r="AZ60"/>
  <c r="AY60"/>
  <c r="AW60"/>
  <c r="AV60"/>
  <c r="AU60"/>
  <c r="AS60"/>
  <c r="AR60"/>
  <c r="AQ60"/>
  <c r="AO60"/>
  <c r="AN60"/>
  <c r="AM60"/>
  <c r="AK60"/>
  <c r="AJ60"/>
  <c r="AH60"/>
  <c r="AF60"/>
  <c r="AE60"/>
  <c r="AD60"/>
  <c r="AC60"/>
  <c r="AB60"/>
  <c r="AA60"/>
  <c r="Z60"/>
  <c r="Y60"/>
  <c r="X60"/>
  <c r="BL59"/>
  <c r="BK59"/>
  <c r="BI59"/>
  <c r="BH59"/>
  <c r="BG59"/>
  <c r="BE59"/>
  <c r="BD59"/>
  <c r="BC59"/>
  <c r="BA59"/>
  <c r="AZ59"/>
  <c r="AY59"/>
  <c r="AW59"/>
  <c r="AV59"/>
  <c r="AU59"/>
  <c r="AS59"/>
  <c r="AR59"/>
  <c r="AQ59"/>
  <c r="AO59"/>
  <c r="AN59"/>
  <c r="AM59"/>
  <c r="AK59"/>
  <c r="AJ59"/>
  <c r="AH59"/>
  <c r="AF59"/>
  <c r="AE59"/>
  <c r="AD59"/>
  <c r="AC59"/>
  <c r="AB59"/>
  <c r="AA59"/>
  <c r="Z59"/>
  <c r="Y59"/>
  <c r="X59"/>
  <c r="BL58"/>
  <c r="BK58"/>
  <c r="BI58"/>
  <c r="BH58"/>
  <c r="BG58"/>
  <c r="BE58"/>
  <c r="BD58"/>
  <c r="BC58"/>
  <c r="BA58"/>
  <c r="AZ58"/>
  <c r="AY58"/>
  <c r="AW58"/>
  <c r="AV58"/>
  <c r="AU58"/>
  <c r="AS58"/>
  <c r="AR58"/>
  <c r="AQ58"/>
  <c r="AO58"/>
  <c r="AN58"/>
  <c r="AM58"/>
  <c r="AK58"/>
  <c r="AJ58"/>
  <c r="AH58"/>
  <c r="AF58"/>
  <c r="AE58"/>
  <c r="AD58"/>
  <c r="AC58"/>
  <c r="AB58"/>
  <c r="AA58"/>
  <c r="Z58"/>
  <c r="Y58"/>
  <c r="X58"/>
  <c r="BL57"/>
  <c r="BK57"/>
  <c r="BI57"/>
  <c r="BH57"/>
  <c r="BG57"/>
  <c r="BE57"/>
  <c r="BD57"/>
  <c r="BC57"/>
  <c r="BA57"/>
  <c r="AZ57"/>
  <c r="AY57"/>
  <c r="AW57"/>
  <c r="AV57"/>
  <c r="AU57"/>
  <c r="AS57"/>
  <c r="AR57"/>
  <c r="AQ57"/>
  <c r="AO57"/>
  <c r="AN57"/>
  <c r="AM57"/>
  <c r="AK57"/>
  <c r="AJ57"/>
  <c r="AH57"/>
  <c r="AF57"/>
  <c r="AE57"/>
  <c r="AD57"/>
  <c r="AC57"/>
  <c r="AB57"/>
  <c r="AA57"/>
  <c r="Z57"/>
  <c r="Y57"/>
  <c r="X57"/>
  <c r="BL56"/>
  <c r="BK56"/>
  <c r="BI56"/>
  <c r="BH56"/>
  <c r="BG56"/>
  <c r="BE56"/>
  <c r="BD56"/>
  <c r="BC56"/>
  <c r="BA56"/>
  <c r="AZ56"/>
  <c r="AY56"/>
  <c r="AW56"/>
  <c r="AV56"/>
  <c r="AU56"/>
  <c r="AS56"/>
  <c r="AR56"/>
  <c r="AQ56"/>
  <c r="AO56"/>
  <c r="AN56"/>
  <c r="AM56"/>
  <c r="AK56"/>
  <c r="AJ56"/>
  <c r="AH56"/>
  <c r="AF56"/>
  <c r="AE56"/>
  <c r="AD56"/>
  <c r="AC56"/>
  <c r="AB56"/>
  <c r="AA56"/>
  <c r="Z56"/>
  <c r="Y56"/>
  <c r="X56"/>
  <c r="BL55"/>
  <c r="BK55"/>
  <c r="BI55"/>
  <c r="BH55"/>
  <c r="BG55"/>
  <c r="BE55"/>
  <c r="BD55"/>
  <c r="BC55"/>
  <c r="BA55"/>
  <c r="AZ55"/>
  <c r="AY55"/>
  <c r="AW55"/>
  <c r="AV55"/>
  <c r="AU55"/>
  <c r="AS55"/>
  <c r="AR55"/>
  <c r="AQ55"/>
  <c r="AO55"/>
  <c r="AN55"/>
  <c r="AM55"/>
  <c r="AK55"/>
  <c r="AJ55"/>
  <c r="AH55"/>
  <c r="AF55"/>
  <c r="AE55"/>
  <c r="AD55"/>
  <c r="AC55"/>
  <c r="AB55"/>
  <c r="AA55"/>
  <c r="Z55"/>
  <c r="Y55"/>
  <c r="X55"/>
  <c r="BL54"/>
  <c r="BK54"/>
  <c r="BI54"/>
  <c r="BH54"/>
  <c r="BG54"/>
  <c r="BE54"/>
  <c r="BD54"/>
  <c r="BC54"/>
  <c r="BA54"/>
  <c r="AZ54"/>
  <c r="AY54"/>
  <c r="AW54"/>
  <c r="AV54"/>
  <c r="AU54"/>
  <c r="AS54"/>
  <c r="AR54"/>
  <c r="AQ54"/>
  <c r="AO54"/>
  <c r="AN54"/>
  <c r="AM54"/>
  <c r="AK54"/>
  <c r="AJ54"/>
  <c r="AH54"/>
  <c r="AF54"/>
  <c r="AE54"/>
  <c r="AD54"/>
  <c r="AC54"/>
  <c r="AB54"/>
  <c r="AA54"/>
  <c r="Z54"/>
  <c r="Y54"/>
  <c r="X54"/>
  <c r="BL53"/>
  <c r="BK53"/>
  <c r="BI53"/>
  <c r="BH53"/>
  <c r="BG53"/>
  <c r="BE53"/>
  <c r="BD53"/>
  <c r="BC53"/>
  <c r="BA53"/>
  <c r="AZ53"/>
  <c r="AY53"/>
  <c r="AW53"/>
  <c r="AV53"/>
  <c r="AU53"/>
  <c r="AS53"/>
  <c r="AR53"/>
  <c r="AQ53"/>
  <c r="AO53"/>
  <c r="AN53"/>
  <c r="AM53"/>
  <c r="AK53"/>
  <c r="AJ53"/>
  <c r="AH53"/>
  <c r="AF53"/>
  <c r="AE53"/>
  <c r="AD53"/>
  <c r="AC53"/>
  <c r="AB53"/>
  <c r="AA53"/>
  <c r="Z53"/>
  <c r="Y53"/>
  <c r="X53"/>
  <c r="BL52"/>
  <c r="BK52"/>
  <c r="BI52"/>
  <c r="BH52"/>
  <c r="BG52"/>
  <c r="BE52"/>
  <c r="BD52"/>
  <c r="BC52"/>
  <c r="BA52"/>
  <c r="AZ52"/>
  <c r="AY52"/>
  <c r="AW52"/>
  <c r="AV52"/>
  <c r="AU52"/>
  <c r="AS52"/>
  <c r="AR52"/>
  <c r="AQ52"/>
  <c r="AO52"/>
  <c r="AN52"/>
  <c r="AM52"/>
  <c r="AK52"/>
  <c r="AJ52"/>
  <c r="AH52"/>
  <c r="AF52"/>
  <c r="AE52"/>
  <c r="AD52"/>
  <c r="AC52"/>
  <c r="AB52"/>
  <c r="AA52"/>
  <c r="Z52"/>
  <c r="Y52"/>
  <c r="X52"/>
  <c r="BL51"/>
  <c r="BK51"/>
  <c r="BI51"/>
  <c r="BH51"/>
  <c r="BG51"/>
  <c r="BE51"/>
  <c r="BD51"/>
  <c r="BC51"/>
  <c r="BA51"/>
  <c r="AZ51"/>
  <c r="AY51"/>
  <c r="AW51"/>
  <c r="AV51"/>
  <c r="AU51"/>
  <c r="AS51"/>
  <c r="AR51"/>
  <c r="AQ51"/>
  <c r="AO51"/>
  <c r="AN51"/>
  <c r="AM51"/>
  <c r="AK51"/>
  <c r="AJ51"/>
  <c r="AH51"/>
  <c r="AF51"/>
  <c r="AE51"/>
  <c r="AD51"/>
  <c r="AC51"/>
  <c r="AB51"/>
  <c r="AA51"/>
  <c r="Z51"/>
  <c r="Y51"/>
  <c r="X51"/>
  <c r="BL50"/>
  <c r="BK50"/>
  <c r="BI50"/>
  <c r="BH50"/>
  <c r="BG50"/>
  <c r="BE50"/>
  <c r="BD50"/>
  <c r="BC50"/>
  <c r="BA50"/>
  <c r="AZ50"/>
  <c r="AY50"/>
  <c r="AW50"/>
  <c r="AV50"/>
  <c r="AU50"/>
  <c r="AS50"/>
  <c r="AR50"/>
  <c r="AQ50"/>
  <c r="AO50"/>
  <c r="AN50"/>
  <c r="AM50"/>
  <c r="AK50"/>
  <c r="AJ50"/>
  <c r="AH50"/>
  <c r="AF50"/>
  <c r="AE50"/>
  <c r="AD50"/>
  <c r="AC50"/>
  <c r="AB50"/>
  <c r="AA50"/>
  <c r="Z50"/>
  <c r="Y50"/>
  <c r="X50"/>
  <c r="BL49"/>
  <c r="BK49"/>
  <c r="BI49"/>
  <c r="BH49"/>
  <c r="BG49"/>
  <c r="BE49"/>
  <c r="BD49"/>
  <c r="BC49"/>
  <c r="BA49"/>
  <c r="AZ49"/>
  <c r="AY49"/>
  <c r="AW49"/>
  <c r="AV49"/>
  <c r="AU49"/>
  <c r="AS49"/>
  <c r="AR49"/>
  <c r="AQ49"/>
  <c r="AO49"/>
  <c r="AN49"/>
  <c r="AM49"/>
  <c r="AK49"/>
  <c r="AJ49"/>
  <c r="AH49"/>
  <c r="AF49"/>
  <c r="AE49"/>
  <c r="AD49"/>
  <c r="AC49"/>
  <c r="AB49"/>
  <c r="AA49"/>
  <c r="Z49"/>
  <c r="Y49"/>
  <c r="X49"/>
  <c r="BL48"/>
  <c r="BK48"/>
  <c r="BI48"/>
  <c r="BH48"/>
  <c r="BG48"/>
  <c r="BE48"/>
  <c r="BD48"/>
  <c r="BC48"/>
  <c r="BA48"/>
  <c r="AZ48"/>
  <c r="AY48"/>
  <c r="AW48"/>
  <c r="AV48"/>
  <c r="AU48"/>
  <c r="AS48"/>
  <c r="AR48"/>
  <c r="AQ48"/>
  <c r="AO48"/>
  <c r="AN48"/>
  <c r="AM48"/>
  <c r="AK48"/>
  <c r="AJ48"/>
  <c r="AH48"/>
  <c r="AF48"/>
  <c r="AE48"/>
  <c r="AD48"/>
  <c r="AC48"/>
  <c r="AB48"/>
  <c r="AA48"/>
  <c r="Z48"/>
  <c r="Y48"/>
  <c r="X48"/>
  <c r="BL47"/>
  <c r="BK47"/>
  <c r="BI47"/>
  <c r="BH47"/>
  <c r="BG47"/>
  <c r="BE47"/>
  <c r="BD47"/>
  <c r="BC47"/>
  <c r="BA47"/>
  <c r="AZ47"/>
  <c r="AY47"/>
  <c r="AW47"/>
  <c r="AV47"/>
  <c r="AU47"/>
  <c r="AS47"/>
  <c r="AR47"/>
  <c r="AQ47"/>
  <c r="AO47"/>
  <c r="AN47"/>
  <c r="AM47"/>
  <c r="AK47"/>
  <c r="AJ47"/>
  <c r="AH47"/>
  <c r="AF47"/>
  <c r="AE47"/>
  <c r="AD47"/>
  <c r="AC47"/>
  <c r="AB47"/>
  <c r="AA47"/>
  <c r="Z47"/>
  <c r="Y47"/>
  <c r="X47"/>
  <c r="BL46"/>
  <c r="BK46"/>
  <c r="BI46"/>
  <c r="BH46"/>
  <c r="BG46"/>
  <c r="BE46"/>
  <c r="BD46"/>
  <c r="BC46"/>
  <c r="BA46"/>
  <c r="AZ46"/>
  <c r="AY46"/>
  <c r="AW46"/>
  <c r="AV46"/>
  <c r="AU46"/>
  <c r="AS46"/>
  <c r="AR46"/>
  <c r="AQ46"/>
  <c r="AO46"/>
  <c r="AN46"/>
  <c r="AM46"/>
  <c r="AK46"/>
  <c r="AJ46"/>
  <c r="AH46"/>
  <c r="AF46"/>
  <c r="AE46"/>
  <c r="AD46"/>
  <c r="AC46"/>
  <c r="AB46"/>
  <c r="AA46"/>
  <c r="Z46"/>
  <c r="Y46"/>
  <c r="X46"/>
  <c r="BL45"/>
  <c r="BK45"/>
  <c r="BI45"/>
  <c r="BH45"/>
  <c r="BG45"/>
  <c r="BE45"/>
  <c r="BD45"/>
  <c r="BC45"/>
  <c r="BA45"/>
  <c r="AZ45"/>
  <c r="AY45"/>
  <c r="AW45"/>
  <c r="AV45"/>
  <c r="AU45"/>
  <c r="AS45"/>
  <c r="AR45"/>
  <c r="AQ45"/>
  <c r="AO45"/>
  <c r="AN45"/>
  <c r="AM45"/>
  <c r="AK45"/>
  <c r="AJ45"/>
  <c r="AH45"/>
  <c r="AF45"/>
  <c r="AE45"/>
  <c r="AD45"/>
  <c r="AC45"/>
  <c r="AB45"/>
  <c r="AA45"/>
  <c r="Z45"/>
  <c r="Y45"/>
  <c r="X45"/>
  <c r="BL44"/>
  <c r="BK44"/>
  <c r="BI44"/>
  <c r="BH44"/>
  <c r="BG44"/>
  <c r="BE44"/>
  <c r="BD44"/>
  <c r="BC44"/>
  <c r="BA44"/>
  <c r="AZ44"/>
  <c r="AY44"/>
  <c r="AW44"/>
  <c r="AV44"/>
  <c r="AU44"/>
  <c r="AS44"/>
  <c r="AR44"/>
  <c r="AQ44"/>
  <c r="AO44"/>
  <c r="AN44"/>
  <c r="AM44"/>
  <c r="AK44"/>
  <c r="AJ44"/>
  <c r="AH44"/>
  <c r="AF44"/>
  <c r="AE44"/>
  <c r="AD44"/>
  <c r="AC44"/>
  <c r="AB44"/>
  <c r="AA44"/>
  <c r="Z44"/>
  <c r="Y44"/>
  <c r="X44"/>
  <c r="BL43"/>
  <c r="BK43"/>
  <c r="BI43"/>
  <c r="BH43"/>
  <c r="BG43"/>
  <c r="BE43"/>
  <c r="BD43"/>
  <c r="BC43"/>
  <c r="BA43"/>
  <c r="AZ43"/>
  <c r="AY43"/>
  <c r="AW43"/>
  <c r="AV43"/>
  <c r="AU43"/>
  <c r="AS43"/>
  <c r="AR43"/>
  <c r="AQ43"/>
  <c r="AO43"/>
  <c r="AN43"/>
  <c r="AM43"/>
  <c r="AK43"/>
  <c r="AJ43"/>
  <c r="AH43"/>
  <c r="AF43"/>
  <c r="AE43"/>
  <c r="AD43"/>
  <c r="AC43"/>
  <c r="AB43"/>
  <c r="AA43"/>
  <c r="Z43"/>
  <c r="Y43"/>
  <c r="X43"/>
  <c r="BL42"/>
  <c r="BK42"/>
  <c r="BI42"/>
  <c r="BH42"/>
  <c r="BG42"/>
  <c r="BE42"/>
  <c r="BD42"/>
  <c r="BC42"/>
  <c r="BA42"/>
  <c r="AZ42"/>
  <c r="AY42"/>
  <c r="AW42"/>
  <c r="AV42"/>
  <c r="AU42"/>
  <c r="AS42"/>
  <c r="AR42"/>
  <c r="AQ42"/>
  <c r="AO42"/>
  <c r="AN42"/>
  <c r="AM42"/>
  <c r="AK42"/>
  <c r="AJ42"/>
  <c r="AH42"/>
  <c r="AF42"/>
  <c r="AE42"/>
  <c r="AD42"/>
  <c r="AC42"/>
  <c r="AB42"/>
  <c r="AA42"/>
  <c r="Z42"/>
  <c r="Y42"/>
  <c r="X42"/>
  <c r="BL41"/>
  <c r="BK41"/>
  <c r="BI41"/>
  <c r="BH41"/>
  <c r="BG41"/>
  <c r="BE41"/>
  <c r="BD41"/>
  <c r="BC41"/>
  <c r="BA41"/>
  <c r="AZ41"/>
  <c r="AY41"/>
  <c r="AW41"/>
  <c r="AV41"/>
  <c r="AU41"/>
  <c r="AS41"/>
  <c r="AR41"/>
  <c r="AQ41"/>
  <c r="AO41"/>
  <c r="AN41"/>
  <c r="AM41"/>
  <c r="AK41"/>
  <c r="AJ41"/>
  <c r="AH41"/>
  <c r="AF41"/>
  <c r="AE41"/>
  <c r="AD41"/>
  <c r="AC41"/>
  <c r="AB41"/>
  <c r="AA41"/>
  <c r="Z41"/>
  <c r="Y41"/>
  <c r="X41"/>
  <c r="BL40"/>
  <c r="BK40"/>
  <c r="BI40"/>
  <c r="BH40"/>
  <c r="BG40"/>
  <c r="BE40"/>
  <c r="BD40"/>
  <c r="BC40"/>
  <c r="BA40"/>
  <c r="AZ40"/>
  <c r="AY40"/>
  <c r="AW40"/>
  <c r="AV40"/>
  <c r="AU40"/>
  <c r="AS40"/>
  <c r="AR40"/>
  <c r="AQ40"/>
  <c r="AO40"/>
  <c r="AN40"/>
  <c r="AM40"/>
  <c r="AK40"/>
  <c r="AJ40"/>
  <c r="AH40"/>
  <c r="AF40"/>
  <c r="AE40"/>
  <c r="AD40"/>
  <c r="AC40"/>
  <c r="AB40"/>
  <c r="AA40"/>
  <c r="Z40"/>
  <c r="Y40"/>
  <c r="X40"/>
  <c r="BL39"/>
  <c r="BK39"/>
  <c r="BI39"/>
  <c r="BH39"/>
  <c r="BG39"/>
  <c r="BE39"/>
  <c r="BD39"/>
  <c r="BC39"/>
  <c r="BA39"/>
  <c r="AZ39"/>
  <c r="AY39"/>
  <c r="AW39"/>
  <c r="AV39"/>
  <c r="AU39"/>
  <c r="AS39"/>
  <c r="AR39"/>
  <c r="AQ39"/>
  <c r="AO39"/>
  <c r="AN39"/>
  <c r="AM39"/>
  <c r="AK39"/>
  <c r="AJ39"/>
  <c r="AH39"/>
  <c r="AF39"/>
  <c r="AE39"/>
  <c r="AD39"/>
  <c r="AC39"/>
  <c r="AB39"/>
  <c r="AA39"/>
  <c r="Z39"/>
  <c r="Y39"/>
  <c r="X39"/>
  <c r="BL38"/>
  <c r="BK38"/>
  <c r="BI38"/>
  <c r="BH38"/>
  <c r="BG38"/>
  <c r="BE38"/>
  <c r="BD38"/>
  <c r="BC38"/>
  <c r="BA38"/>
  <c r="AZ38"/>
  <c r="AY38"/>
  <c r="AW38"/>
  <c r="AV38"/>
  <c r="AU38"/>
  <c r="AS38"/>
  <c r="AR38"/>
  <c r="AQ38"/>
  <c r="AO38"/>
  <c r="AN38"/>
  <c r="AM38"/>
  <c r="AK38"/>
  <c r="AJ38"/>
  <c r="AH38"/>
  <c r="AF38"/>
  <c r="AE38"/>
  <c r="AD38"/>
  <c r="AC38"/>
  <c r="AB38"/>
  <c r="AA38"/>
  <c r="Z38"/>
  <c r="Y38"/>
  <c r="X38"/>
  <c r="BL37"/>
  <c r="BK37"/>
  <c r="BI37"/>
  <c r="BH37"/>
  <c r="BG37"/>
  <c r="BE37"/>
  <c r="BD37"/>
  <c r="BC37"/>
  <c r="BA37"/>
  <c r="AZ37"/>
  <c r="AY37"/>
  <c r="AW37"/>
  <c r="AV37"/>
  <c r="AU37"/>
  <c r="AS37"/>
  <c r="AR37"/>
  <c r="AQ37"/>
  <c r="AO37"/>
  <c r="AN37"/>
  <c r="AM37"/>
  <c r="AK37"/>
  <c r="AJ37"/>
  <c r="AH37"/>
  <c r="AF37"/>
  <c r="AE37"/>
  <c r="AD37"/>
  <c r="AC37"/>
  <c r="AB37"/>
  <c r="AA37"/>
  <c r="Z37"/>
  <c r="Y37"/>
  <c r="X37"/>
  <c r="BL36"/>
  <c r="BK36"/>
  <c r="BI36"/>
  <c r="BH36"/>
  <c r="BG36"/>
  <c r="BE36"/>
  <c r="BD36"/>
  <c r="BC36"/>
  <c r="BA36"/>
  <c r="AZ36"/>
  <c r="AY36"/>
  <c r="AW36"/>
  <c r="AV36"/>
  <c r="AU36"/>
  <c r="AS36"/>
  <c r="AR36"/>
  <c r="AQ36"/>
  <c r="AO36"/>
  <c r="AN36"/>
  <c r="AM36"/>
  <c r="AK36"/>
  <c r="AJ36"/>
  <c r="AH36"/>
  <c r="AF36"/>
  <c r="AE36"/>
  <c r="AD36"/>
  <c r="AC36"/>
  <c r="AB36"/>
  <c r="AA36"/>
  <c r="Z36"/>
  <c r="Y36"/>
  <c r="X36"/>
  <c r="BL35"/>
  <c r="BK35"/>
  <c r="BI35"/>
  <c r="BH35"/>
  <c r="BG35"/>
  <c r="BE35"/>
  <c r="BD35"/>
  <c r="BC35"/>
  <c r="BA35"/>
  <c r="AZ35"/>
  <c r="AY35"/>
  <c r="AW35"/>
  <c r="AV35"/>
  <c r="AU35"/>
  <c r="AS35"/>
  <c r="AR35"/>
  <c r="AQ35"/>
  <c r="AO35"/>
  <c r="AN35"/>
  <c r="AM35"/>
  <c r="AK35"/>
  <c r="AJ35"/>
  <c r="AH35"/>
  <c r="AF35"/>
  <c r="AE35"/>
  <c r="AD35"/>
  <c r="AC35"/>
  <c r="AB35"/>
  <c r="AA35"/>
  <c r="Z35"/>
  <c r="Y35"/>
  <c r="X35"/>
  <c r="BL34"/>
  <c r="BK34"/>
  <c r="BI34"/>
  <c r="BH34"/>
  <c r="BG34"/>
  <c r="BE34"/>
  <c r="BD34"/>
  <c r="BC34"/>
  <c r="BA34"/>
  <c r="AZ34"/>
  <c r="AY34"/>
  <c r="AW34"/>
  <c r="AV34"/>
  <c r="AU34"/>
  <c r="AS34"/>
  <c r="AR34"/>
  <c r="AQ34"/>
  <c r="AO34"/>
  <c r="AN34"/>
  <c r="AM34"/>
  <c r="AK34"/>
  <c r="AJ34"/>
  <c r="AH34"/>
  <c r="AF34"/>
  <c r="AE34"/>
  <c r="AD34"/>
  <c r="AC34"/>
  <c r="AB34"/>
  <c r="AA34"/>
  <c r="Z34"/>
  <c r="Y34"/>
  <c r="X34"/>
  <c r="BL33"/>
  <c r="BK33"/>
  <c r="BI33"/>
  <c r="BH33"/>
  <c r="BG33"/>
  <c r="BE33"/>
  <c r="BD33"/>
  <c r="BC33"/>
  <c r="BA33"/>
  <c r="AZ33"/>
  <c r="AY33"/>
  <c r="AW33"/>
  <c r="AV33"/>
  <c r="AU33"/>
  <c r="AS33"/>
  <c r="AR33"/>
  <c r="AQ33"/>
  <c r="AO33"/>
  <c r="AN33"/>
  <c r="AM33"/>
  <c r="AK33"/>
  <c r="AJ33"/>
  <c r="AH33"/>
  <c r="AF33"/>
  <c r="AE33"/>
  <c r="AD33"/>
  <c r="AC33"/>
  <c r="AB33"/>
  <c r="AA33"/>
  <c r="Z33"/>
  <c r="Y33"/>
  <c r="X33"/>
  <c r="BL32"/>
  <c r="BK32"/>
  <c r="BI32"/>
  <c r="BH32"/>
  <c r="BG32"/>
  <c r="BE32"/>
  <c r="BD32"/>
  <c r="BC32"/>
  <c r="BA32"/>
  <c r="AZ32"/>
  <c r="AY32"/>
  <c r="AW32"/>
  <c r="AV32"/>
  <c r="AU32"/>
  <c r="AS32"/>
  <c r="AR32"/>
  <c r="AQ32"/>
  <c r="AO32"/>
  <c r="AN32"/>
  <c r="AM32"/>
  <c r="AK32"/>
  <c r="AJ32"/>
  <c r="AH32"/>
  <c r="AF32"/>
  <c r="AE32"/>
  <c r="AD32"/>
  <c r="AC32"/>
  <c r="AB32"/>
  <c r="AA32"/>
  <c r="Z32"/>
  <c r="Y32"/>
  <c r="X32"/>
  <c r="BL31"/>
  <c r="BK31"/>
  <c r="BI31"/>
  <c r="BH31"/>
  <c r="BG31"/>
  <c r="BE31"/>
  <c r="BD31"/>
  <c r="BC31"/>
  <c r="BA31"/>
  <c r="AZ31"/>
  <c r="AY31"/>
  <c r="AW31"/>
  <c r="AV31"/>
  <c r="AU31"/>
  <c r="AS31"/>
  <c r="AR31"/>
  <c r="AQ31"/>
  <c r="AO31"/>
  <c r="AN31"/>
  <c r="AM31"/>
  <c r="AK31"/>
  <c r="AJ31"/>
  <c r="AH31"/>
  <c r="AF31"/>
  <c r="AE31"/>
  <c r="AD31"/>
  <c r="AC31"/>
  <c r="AB31"/>
  <c r="AA31"/>
  <c r="Z31"/>
  <c r="Y31"/>
  <c r="X31"/>
  <c r="BL30"/>
  <c r="BK30"/>
  <c r="BI30"/>
  <c r="BH30"/>
  <c r="BG30"/>
  <c r="BE30"/>
  <c r="BD30"/>
  <c r="BC30"/>
  <c r="BA30"/>
  <c r="AZ30"/>
  <c r="AY30"/>
  <c r="AW30"/>
  <c r="AV30"/>
  <c r="AU30"/>
  <c r="AS30"/>
  <c r="AR30"/>
  <c r="AQ30"/>
  <c r="AO30"/>
  <c r="AN30"/>
  <c r="AM30"/>
  <c r="AK30"/>
  <c r="AJ30"/>
  <c r="AH30"/>
  <c r="AF30"/>
  <c r="AE30"/>
  <c r="AD30"/>
  <c r="AC30"/>
  <c r="AB30"/>
  <c r="AA30"/>
  <c r="Z30"/>
  <c r="Y30"/>
  <c r="X30"/>
  <c r="BL29"/>
  <c r="BK29"/>
  <c r="BI29"/>
  <c r="BH29"/>
  <c r="BG29"/>
  <c r="BE29"/>
  <c r="BD29"/>
  <c r="BC29"/>
  <c r="BA29"/>
  <c r="AZ29"/>
  <c r="AY29"/>
  <c r="AW29"/>
  <c r="AV29"/>
  <c r="AU29"/>
  <c r="AS29"/>
  <c r="AR29"/>
  <c r="AQ29"/>
  <c r="AO29"/>
  <c r="AN29"/>
  <c r="AM29"/>
  <c r="AK29"/>
  <c r="AJ29"/>
  <c r="AH29"/>
  <c r="AF29"/>
  <c r="AE29"/>
  <c r="AD29"/>
  <c r="AC29"/>
  <c r="AB29"/>
  <c r="AA29"/>
  <c r="Z29"/>
  <c r="Y29"/>
  <c r="X29"/>
  <c r="BL28"/>
  <c r="BK28"/>
  <c r="BI28"/>
  <c r="BH28"/>
  <c r="BG28"/>
  <c r="BE28"/>
  <c r="BD28"/>
  <c r="BC28"/>
  <c r="BA28"/>
  <c r="AZ28"/>
  <c r="AY28"/>
  <c r="AW28"/>
  <c r="AV28"/>
  <c r="AU28"/>
  <c r="AS28"/>
  <c r="AR28"/>
  <c r="AQ28"/>
  <c r="AO28"/>
  <c r="AN28"/>
  <c r="AM28"/>
  <c r="AK28"/>
  <c r="AJ28"/>
  <c r="AH28"/>
  <c r="AF28"/>
  <c r="AE28"/>
  <c r="AD28"/>
  <c r="AC28"/>
  <c r="AB28"/>
  <c r="AA28"/>
  <c r="Z28"/>
  <c r="Y28"/>
  <c r="X28"/>
  <c r="BL27"/>
  <c r="BK27"/>
  <c r="BI27"/>
  <c r="BH27"/>
  <c r="BG27"/>
  <c r="BE27"/>
  <c r="BD27"/>
  <c r="BC27"/>
  <c r="BA27"/>
  <c r="AZ27"/>
  <c r="AY27"/>
  <c r="AW27"/>
  <c r="AV27"/>
  <c r="AU27"/>
  <c r="AS27"/>
  <c r="AR27"/>
  <c r="AQ27"/>
  <c r="AO27"/>
  <c r="AN27"/>
  <c r="AM27"/>
  <c r="AK27"/>
  <c r="AJ27"/>
  <c r="AH27"/>
  <c r="AF27"/>
  <c r="AE27"/>
  <c r="AD27"/>
  <c r="AC27"/>
  <c r="AB27"/>
  <c r="AA27"/>
  <c r="Z27"/>
  <c r="Y27"/>
  <c r="X27"/>
  <c r="BL26"/>
  <c r="BK26"/>
  <c r="BI26"/>
  <c r="BH26"/>
  <c r="BG26"/>
  <c r="BE26"/>
  <c r="BD26"/>
  <c r="BC26"/>
  <c r="BA26"/>
  <c r="AZ26"/>
  <c r="AY26"/>
  <c r="AW26"/>
  <c r="AV26"/>
  <c r="AU26"/>
  <c r="AS26"/>
  <c r="AR26"/>
  <c r="AQ26"/>
  <c r="AO26"/>
  <c r="AN26"/>
  <c r="AM26"/>
  <c r="AK26"/>
  <c r="AJ26"/>
  <c r="AH26"/>
  <c r="AF26"/>
  <c r="AE26"/>
  <c r="AD26"/>
  <c r="AC26"/>
  <c r="AB26"/>
  <c r="AA26"/>
  <c r="Z26"/>
  <c r="Y26"/>
  <c r="X26"/>
  <c r="BL25"/>
  <c r="BK25"/>
  <c r="BI25"/>
  <c r="BH25"/>
  <c r="BG25"/>
  <c r="BE25"/>
  <c r="BD25"/>
  <c r="BC25"/>
  <c r="BA25"/>
  <c r="AZ25"/>
  <c r="AY25"/>
  <c r="AW25"/>
  <c r="AV25"/>
  <c r="AU25"/>
  <c r="AS25"/>
  <c r="AR25"/>
  <c r="AQ25"/>
  <c r="AO25"/>
  <c r="AN25"/>
  <c r="AM25"/>
  <c r="AK25"/>
  <c r="AJ25"/>
  <c r="AH25"/>
  <c r="AF25"/>
  <c r="AE25"/>
  <c r="AD25"/>
  <c r="AC25"/>
  <c r="AB25"/>
  <c r="AA25"/>
  <c r="Z25"/>
  <c r="Y25"/>
  <c r="X25"/>
  <c r="BL24"/>
  <c r="BK24"/>
  <c r="BI24"/>
  <c r="BH24"/>
  <c r="BG24"/>
  <c r="BE24"/>
  <c r="BD24"/>
  <c r="BC24"/>
  <c r="BA24"/>
  <c r="AZ24"/>
  <c r="AY24"/>
  <c r="AW24"/>
  <c r="AV24"/>
  <c r="AU24"/>
  <c r="AS24"/>
  <c r="AR24"/>
  <c r="AQ24"/>
  <c r="AO24"/>
  <c r="AN24"/>
  <c r="AM24"/>
  <c r="AK24"/>
  <c r="AJ24"/>
  <c r="AH24"/>
  <c r="AF24"/>
  <c r="AE24"/>
  <c r="AD24"/>
  <c r="AC24"/>
  <c r="AB24"/>
  <c r="AA24"/>
  <c r="Z24"/>
  <c r="Y24"/>
  <c r="X24"/>
  <c r="BL23"/>
  <c r="BK23"/>
  <c r="BI23"/>
  <c r="BH23"/>
  <c r="BG23"/>
  <c r="BE23"/>
  <c r="BD23"/>
  <c r="BC23"/>
  <c r="BA23"/>
  <c r="AZ23"/>
  <c r="AY23"/>
  <c r="AW23"/>
  <c r="AV23"/>
  <c r="AU23"/>
  <c r="AS23"/>
  <c r="AR23"/>
  <c r="AQ23"/>
  <c r="AO23"/>
  <c r="AN23"/>
  <c r="AM23"/>
  <c r="AK23"/>
  <c r="AJ23"/>
  <c r="AH23"/>
  <c r="AF23"/>
  <c r="AE23"/>
  <c r="AD23"/>
  <c r="AC23"/>
  <c r="AB23"/>
  <c r="AA23"/>
  <c r="Z23"/>
  <c r="Y23"/>
  <c r="X23"/>
  <c r="BL22"/>
  <c r="BK22"/>
  <c r="BI22"/>
  <c r="BH22"/>
  <c r="BG22"/>
  <c r="BE22"/>
  <c r="BD22"/>
  <c r="BC22"/>
  <c r="BA22"/>
  <c r="AZ22"/>
  <c r="AY22"/>
  <c r="AW22"/>
  <c r="AV22"/>
  <c r="AU22"/>
  <c r="AS22"/>
  <c r="AR22"/>
  <c r="AQ22"/>
  <c r="AO22"/>
  <c r="AN22"/>
  <c r="AM22"/>
  <c r="AK22"/>
  <c r="AJ22"/>
  <c r="AH22"/>
  <c r="AF22"/>
  <c r="AE22"/>
  <c r="AD22"/>
  <c r="AC22"/>
  <c r="AB22"/>
  <c r="AA22"/>
  <c r="Z22"/>
  <c r="Y22"/>
  <c r="X22"/>
  <c r="BL21"/>
  <c r="BK21"/>
  <c r="BI21"/>
  <c r="BH21"/>
  <c r="BG21"/>
  <c r="BE21"/>
  <c r="BD21"/>
  <c r="BC21"/>
  <c r="BA21"/>
  <c r="AZ21"/>
  <c r="AY21"/>
  <c r="AW21"/>
  <c r="AV21"/>
  <c r="AU21"/>
  <c r="AS21"/>
  <c r="AR21"/>
  <c r="AQ21"/>
  <c r="AO21"/>
  <c r="AN21"/>
  <c r="AM21"/>
  <c r="AK21"/>
  <c r="AJ21"/>
  <c r="AH21"/>
  <c r="AF21"/>
  <c r="AE21"/>
  <c r="AD21"/>
  <c r="AC21"/>
  <c r="AB21"/>
  <c r="AA21"/>
  <c r="Z21"/>
  <c r="Y21"/>
  <c r="X21"/>
  <c r="BL20"/>
  <c r="BK20"/>
  <c r="BI20"/>
  <c r="BH20"/>
  <c r="BG20"/>
  <c r="BE20"/>
  <c r="BD20"/>
  <c r="BC20"/>
  <c r="BA20"/>
  <c r="AZ20"/>
  <c r="AY20"/>
  <c r="AW20"/>
  <c r="AV20"/>
  <c r="AU20"/>
  <c r="AS20"/>
  <c r="AR20"/>
  <c r="AQ20"/>
  <c r="AO20"/>
  <c r="AN20"/>
  <c r="AM20"/>
  <c r="AK20"/>
  <c r="AJ20"/>
  <c r="AH20"/>
  <c r="AF20"/>
  <c r="AE20"/>
  <c r="AD20"/>
  <c r="AC20"/>
  <c r="AB20"/>
  <c r="AA20"/>
  <c r="Z20"/>
  <c r="Y20"/>
  <c r="X20"/>
  <c r="BL19"/>
  <c r="BK19"/>
  <c r="BI19"/>
  <c r="BH19"/>
  <c r="BG19"/>
  <c r="BE19"/>
  <c r="BD19"/>
  <c r="BC19"/>
  <c r="BA19"/>
  <c r="AZ19"/>
  <c r="AY19"/>
  <c r="AW19"/>
  <c r="AV19"/>
  <c r="AU19"/>
  <c r="AS19"/>
  <c r="AR19"/>
  <c r="AQ19"/>
  <c r="AO19"/>
  <c r="AN19"/>
  <c r="AM19"/>
  <c r="AK19"/>
  <c r="AJ19"/>
  <c r="AH19"/>
  <c r="AF19"/>
  <c r="AE19"/>
  <c r="AD19"/>
  <c r="AC19"/>
  <c r="AB19"/>
  <c r="AA19"/>
  <c r="Z19"/>
  <c r="Y19"/>
  <c r="X19"/>
  <c r="BL18"/>
  <c r="BK18"/>
  <c r="BI18"/>
  <c r="BH18"/>
  <c r="BG18"/>
  <c r="BE18"/>
  <c r="BD18"/>
  <c r="BC18"/>
  <c r="BA18"/>
  <c r="AZ18"/>
  <c r="AY18"/>
  <c r="AW18"/>
  <c r="AV18"/>
  <c r="AU18"/>
  <c r="AS18"/>
  <c r="AR18"/>
  <c r="AQ18"/>
  <c r="AO18"/>
  <c r="AN18"/>
  <c r="AM18"/>
  <c r="AK18"/>
  <c r="AJ18"/>
  <c r="AH18"/>
  <c r="AF18"/>
  <c r="AE18"/>
  <c r="AD18"/>
  <c r="AC18"/>
  <c r="AB18"/>
  <c r="AA18"/>
  <c r="Z18"/>
  <c r="Y18"/>
  <c r="X18"/>
  <c r="BL17"/>
  <c r="BK17"/>
  <c r="BI17"/>
  <c r="BH17"/>
  <c r="BG17"/>
  <c r="BE17"/>
  <c r="BD17"/>
  <c r="BC17"/>
  <c r="BA17"/>
  <c r="AZ17"/>
  <c r="AY17"/>
  <c r="AW17"/>
  <c r="AV17"/>
  <c r="AU17"/>
  <c r="AS17"/>
  <c r="AR17"/>
  <c r="AQ17"/>
  <c r="AO17"/>
  <c r="AN17"/>
  <c r="AM17"/>
  <c r="AK17"/>
  <c r="AJ17"/>
  <c r="AH17"/>
  <c r="AF17"/>
  <c r="AE17"/>
  <c r="AD17"/>
  <c r="AC17"/>
  <c r="AB17"/>
  <c r="AA17"/>
  <c r="Z17"/>
  <c r="Y17"/>
  <c r="X17"/>
  <c r="BL16"/>
  <c r="BK16"/>
  <c r="BI16"/>
  <c r="BH16"/>
  <c r="BG16"/>
  <c r="BE16"/>
  <c r="BD16"/>
  <c r="BC16"/>
  <c r="BA16"/>
  <c r="AZ16"/>
  <c r="AY16"/>
  <c r="AW16"/>
  <c r="AV16"/>
  <c r="AU16"/>
  <c r="AS16"/>
  <c r="AR16"/>
  <c r="AQ16"/>
  <c r="AO16"/>
  <c r="AN16"/>
  <c r="AM16"/>
  <c r="AK16"/>
  <c r="AJ16"/>
  <c r="AH16"/>
  <c r="AF16"/>
  <c r="AE16"/>
  <c r="AD16"/>
  <c r="AC16"/>
  <c r="AB16"/>
  <c r="AA16"/>
  <c r="Z16"/>
  <c r="Y16"/>
  <c r="X16"/>
  <c r="BL15"/>
  <c r="BK15"/>
  <c r="BI15"/>
  <c r="BH15"/>
  <c r="BG15"/>
  <c r="BE15"/>
  <c r="BD15"/>
  <c r="BC15"/>
  <c r="BA15"/>
  <c r="AZ15"/>
  <c r="AY15"/>
  <c r="AW15"/>
  <c r="AV15"/>
  <c r="AU15"/>
  <c r="AS15"/>
  <c r="AR15"/>
  <c r="AQ15"/>
  <c r="AO15"/>
  <c r="AN15"/>
  <c r="AM15"/>
  <c r="AK15"/>
  <c r="AJ15"/>
  <c r="AH15"/>
  <c r="AF15"/>
  <c r="AE15"/>
  <c r="AD15"/>
  <c r="AC15"/>
  <c r="AB15"/>
  <c r="AA15"/>
  <c r="Z15"/>
  <c r="Y15"/>
  <c r="X15"/>
  <c r="BL14"/>
  <c r="BK14"/>
  <c r="BI14"/>
  <c r="BH14"/>
  <c r="BG14"/>
  <c r="BE14"/>
  <c r="BD14"/>
  <c r="BC14"/>
  <c r="BA14"/>
  <c r="AZ14"/>
  <c r="AY14"/>
  <c r="AW14"/>
  <c r="AV14"/>
  <c r="AU14"/>
  <c r="AS14"/>
  <c r="AR14"/>
  <c r="AQ14"/>
  <c r="AO14"/>
  <c r="AN14"/>
  <c r="AM14"/>
  <c r="AK14"/>
  <c r="AJ14"/>
  <c r="AH14"/>
  <c r="AF14"/>
  <c r="AE14"/>
  <c r="AD14"/>
  <c r="AC14"/>
  <c r="AB14"/>
  <c r="AA14"/>
  <c r="Z14"/>
  <c r="Y14"/>
  <c r="X14"/>
  <c r="BL13"/>
  <c r="BK13"/>
  <c r="BI13"/>
  <c r="BH13"/>
  <c r="BG13"/>
  <c r="BE13"/>
  <c r="BD13"/>
  <c r="BC13"/>
  <c r="BA13"/>
  <c r="AZ13"/>
  <c r="AY13"/>
  <c r="AW13"/>
  <c r="AV13"/>
  <c r="AU13"/>
  <c r="AS13"/>
  <c r="AR13"/>
  <c r="AQ13"/>
  <c r="AO13"/>
  <c r="AN13"/>
  <c r="AM13"/>
  <c r="AK13"/>
  <c r="AJ13"/>
  <c r="AH13"/>
  <c r="AF13"/>
  <c r="AE13"/>
  <c r="AD13"/>
  <c r="AC13"/>
  <c r="AB13"/>
  <c r="AA13"/>
  <c r="Z13"/>
  <c r="Y13"/>
  <c r="X13"/>
  <c r="BL12"/>
  <c r="BK12"/>
  <c r="BI12"/>
  <c r="BH12"/>
  <c r="BG12"/>
  <c r="BE12"/>
  <c r="BD12"/>
  <c r="BC12"/>
  <c r="BA12"/>
  <c r="AZ12"/>
  <c r="AY12"/>
  <c r="AW12"/>
  <c r="AV12"/>
  <c r="AU12"/>
  <c r="AS12"/>
  <c r="AR12"/>
  <c r="AQ12"/>
  <c r="AO12"/>
  <c r="AN12"/>
  <c r="AM12"/>
  <c r="AK12"/>
  <c r="AJ12"/>
  <c r="AH12"/>
  <c r="AF12"/>
  <c r="AE12"/>
  <c r="AD12"/>
  <c r="AC12"/>
  <c r="AB12"/>
  <c r="AA12"/>
  <c r="Z12"/>
  <c r="Y12"/>
  <c r="X12"/>
  <c r="BL11"/>
  <c r="BK11"/>
  <c r="BI11"/>
  <c r="BH11"/>
  <c r="BG11"/>
  <c r="BE11"/>
  <c r="BD11"/>
  <c r="BC11"/>
  <c r="BA11"/>
  <c r="AZ11"/>
  <c r="AY11"/>
  <c r="AW11"/>
  <c r="AV11"/>
  <c r="AU11"/>
  <c r="AS11"/>
  <c r="AR11"/>
  <c r="AQ11"/>
  <c r="AO11"/>
  <c r="AN11"/>
  <c r="AM11"/>
  <c r="AK11"/>
  <c r="AJ11"/>
  <c r="AH11"/>
  <c r="AF11"/>
  <c r="AE11"/>
  <c r="AD11"/>
  <c r="AC11"/>
  <c r="AB11"/>
  <c r="AA11"/>
  <c r="Z11"/>
  <c r="Y11"/>
  <c r="X11"/>
  <c r="BL10"/>
  <c r="BK10"/>
  <c r="BI10"/>
  <c r="BH10"/>
  <c r="BG10"/>
  <c r="BE10"/>
  <c r="BD10"/>
  <c r="BC10"/>
  <c r="BA10"/>
  <c r="AZ10"/>
  <c r="AY10"/>
  <c r="AW10"/>
  <c r="AV10"/>
  <c r="AU10"/>
  <c r="AS10"/>
  <c r="AR10"/>
  <c r="AQ10"/>
  <c r="AO10"/>
  <c r="AN10"/>
  <c r="AM10"/>
  <c r="AK10"/>
  <c r="AJ10"/>
  <c r="AH10"/>
  <c r="AF10"/>
  <c r="AE10"/>
  <c r="AD10"/>
  <c r="AC10"/>
  <c r="AB10"/>
  <c r="AA10"/>
  <c r="Z10"/>
  <c r="Y10"/>
  <c r="X10"/>
  <c r="BL9"/>
  <c r="BK9"/>
  <c r="BI9"/>
  <c r="BH9"/>
  <c r="BG9"/>
  <c r="BE9"/>
  <c r="BD9"/>
  <c r="BC9"/>
  <c r="BA9"/>
  <c r="AZ9"/>
  <c r="AY9"/>
  <c r="AW9"/>
  <c r="AV9"/>
  <c r="AU9"/>
  <c r="AS9"/>
  <c r="AR9"/>
  <c r="AQ9"/>
  <c r="AO9"/>
  <c r="AN9"/>
  <c r="AM9"/>
  <c r="AK9"/>
  <c r="AJ9"/>
  <c r="AH9"/>
  <c r="AF9"/>
  <c r="AE9"/>
  <c r="AD9"/>
  <c r="AC9"/>
  <c r="AB9"/>
  <c r="AA9"/>
  <c r="Z9"/>
  <c r="Y9"/>
  <c r="X9"/>
  <c r="BL8"/>
  <c r="BK8"/>
  <c r="BI8"/>
  <c r="BH8"/>
  <c r="BG8"/>
  <c r="BE8"/>
  <c r="BD8"/>
  <c r="BC8"/>
  <c r="BA8"/>
  <c r="AZ8"/>
  <c r="AY8"/>
  <c r="AW8"/>
  <c r="AV8"/>
  <c r="AU8"/>
  <c r="AS8"/>
  <c r="AR8"/>
  <c r="AQ8"/>
  <c r="AO8"/>
  <c r="AN8"/>
  <c r="AM8"/>
  <c r="AK8"/>
  <c r="AJ8"/>
  <c r="AH8"/>
  <c r="AF8"/>
  <c r="AE8"/>
  <c r="AD8"/>
  <c r="AC8"/>
  <c r="AB8"/>
  <c r="AA8"/>
  <c r="Z8"/>
  <c r="Y8"/>
  <c r="X8"/>
  <c r="BL7"/>
  <c r="BK7"/>
  <c r="BI7"/>
  <c r="BH7"/>
  <c r="BG7"/>
  <c r="BE7"/>
  <c r="BD7"/>
  <c r="BC7"/>
  <c r="BA7"/>
  <c r="AZ7"/>
  <c r="AY7"/>
  <c r="AW7"/>
  <c r="AV7"/>
  <c r="AU7"/>
  <c r="AS7"/>
  <c r="AR7"/>
  <c r="AQ7"/>
  <c r="AO7"/>
  <c r="AN7"/>
  <c r="AM7"/>
  <c r="AK7"/>
  <c r="AJ7"/>
  <c r="AH7"/>
  <c r="AF7"/>
  <c r="AE7"/>
  <c r="AD7"/>
  <c r="AC7"/>
  <c r="AB7"/>
  <c r="AA7"/>
  <c r="Z7"/>
  <c r="Y7"/>
  <c r="X7"/>
  <c r="BL6"/>
  <c r="BK6"/>
  <c r="BI6"/>
  <c r="BH6"/>
  <c r="BG6"/>
  <c r="BE6"/>
  <c r="BD6"/>
  <c r="BC6"/>
  <c r="BA6"/>
  <c r="AZ6"/>
  <c r="AY6"/>
  <c r="AW6"/>
  <c r="AV6"/>
  <c r="AU6"/>
  <c r="AS6"/>
  <c r="AR6"/>
  <c r="AQ6"/>
  <c r="AO6"/>
  <c r="AN6"/>
  <c r="AM6"/>
  <c r="AK6"/>
  <c r="AJ6"/>
  <c r="AH6"/>
  <c r="AF6"/>
  <c r="AE6"/>
  <c r="AD6"/>
  <c r="AC6"/>
  <c r="AB6"/>
  <c r="AA6"/>
  <c r="Z6"/>
  <c r="Y6"/>
  <c r="X6"/>
  <c r="BL5"/>
  <c r="BK5"/>
  <c r="BI5"/>
  <c r="BH5"/>
  <c r="BG5"/>
  <c r="BE5"/>
  <c r="BD5"/>
  <c r="BC5"/>
  <c r="BA5"/>
  <c r="AZ5"/>
  <c r="AY5"/>
  <c r="AW5"/>
  <c r="AV5"/>
  <c r="AU5"/>
  <c r="AS5"/>
  <c r="AR5"/>
  <c r="AQ5"/>
  <c r="AO5"/>
  <c r="AN5"/>
  <c r="AM5"/>
  <c r="AK5"/>
  <c r="AJ5"/>
  <c r="AH5"/>
  <c r="AF5"/>
  <c r="AE5"/>
  <c r="AD5"/>
  <c r="AC5"/>
  <c r="AB5"/>
  <c r="AA5"/>
  <c r="Z5"/>
  <c r="Y5"/>
  <c r="X5"/>
  <c r="BL4"/>
  <c r="BK4"/>
  <c r="BI4"/>
  <c r="BH4"/>
  <c r="BG4"/>
  <c r="BE4"/>
  <c r="BD4"/>
  <c r="BC4"/>
  <c r="BA4"/>
  <c r="AZ4"/>
  <c r="AY4"/>
  <c r="AW4"/>
  <c r="AV4"/>
  <c r="AU4"/>
  <c r="AS4"/>
  <c r="AR4"/>
  <c r="AQ4"/>
  <c r="AO4"/>
  <c r="AN4"/>
  <c r="AM4"/>
  <c r="AK4"/>
  <c r="AJ4"/>
  <c r="AH4"/>
  <c r="AF4"/>
  <c r="AE4"/>
  <c r="AD4"/>
  <c r="AC4"/>
  <c r="AB4"/>
  <c r="AA4"/>
  <c r="Z4"/>
  <c r="Y4"/>
  <c r="X4"/>
  <c r="V4" l="1"/>
  <c r="V8"/>
  <c r="F8" i="12" s="1"/>
  <c r="V12" i="10"/>
  <c r="V16"/>
  <c r="V20"/>
  <c r="O5" i="12"/>
  <c r="L7"/>
  <c r="O13"/>
  <c r="L15"/>
  <c r="O21"/>
  <c r="L23"/>
  <c r="O29"/>
  <c r="L31"/>
  <c r="O37"/>
  <c r="L39"/>
  <c r="O45"/>
  <c r="L47"/>
  <c r="L51"/>
  <c r="M54"/>
  <c r="N57"/>
  <c r="L63"/>
  <c r="L67"/>
  <c r="O4"/>
  <c r="N6"/>
  <c r="N10"/>
  <c r="O12"/>
  <c r="N14"/>
  <c r="N18"/>
  <c r="O20"/>
  <c r="N22"/>
  <c r="N26"/>
  <c r="O28"/>
  <c r="N30"/>
  <c r="N34"/>
  <c r="O36"/>
  <c r="N38"/>
  <c r="N42"/>
  <c r="O44"/>
  <c r="M46"/>
  <c r="M50"/>
  <c r="N53"/>
  <c r="O56"/>
  <c r="O60"/>
  <c r="M66"/>
  <c r="O9"/>
  <c r="L11"/>
  <c r="O17"/>
  <c r="L19"/>
  <c r="O25"/>
  <c r="L27"/>
  <c r="O33"/>
  <c r="L35"/>
  <c r="O41"/>
  <c r="L43"/>
  <c r="N49"/>
  <c r="L55"/>
  <c r="L59"/>
  <c r="M62"/>
  <c r="N65"/>
  <c r="V5" i="10"/>
  <c r="V7"/>
  <c r="V9"/>
  <c r="F9" i="12" s="1"/>
  <c r="V11" i="10"/>
  <c r="V13"/>
  <c r="V15"/>
  <c r="V17"/>
  <c r="F17" i="12" s="1"/>
  <c r="V19" i="10"/>
  <c r="V21"/>
  <c r="V23"/>
  <c r="D5" i="12"/>
  <c r="O8"/>
  <c r="L10"/>
  <c r="D13"/>
  <c r="O16"/>
  <c r="L18"/>
  <c r="D21"/>
  <c r="O24"/>
  <c r="L26"/>
  <c r="D29"/>
  <c r="O32"/>
  <c r="L34"/>
  <c r="D37"/>
  <c r="O40"/>
  <c r="L42"/>
  <c r="D45"/>
  <c r="O48"/>
  <c r="O52"/>
  <c r="C54"/>
  <c r="M58"/>
  <c r="N61"/>
  <c r="O64"/>
  <c r="N4"/>
  <c r="N12"/>
  <c r="N20"/>
  <c r="N28"/>
  <c r="N36"/>
  <c r="N44"/>
  <c r="M53"/>
  <c r="M61"/>
  <c r="E4"/>
  <c r="I5"/>
  <c r="H10"/>
  <c r="E12"/>
  <c r="I13"/>
  <c r="H18"/>
  <c r="E20"/>
  <c r="I21"/>
  <c r="H26"/>
  <c r="E28"/>
  <c r="I29"/>
  <c r="H34"/>
  <c r="E36"/>
  <c r="I37"/>
  <c r="H42"/>
  <c r="E44"/>
  <c r="I45"/>
  <c r="N52"/>
  <c r="D53"/>
  <c r="L54"/>
  <c r="N60"/>
  <c r="D61"/>
  <c r="L62"/>
  <c r="D6"/>
  <c r="I6"/>
  <c r="M6"/>
  <c r="J8"/>
  <c r="E9"/>
  <c r="J9"/>
  <c r="N9"/>
  <c r="D14"/>
  <c r="I14"/>
  <c r="M14"/>
  <c r="J16"/>
  <c r="E17"/>
  <c r="J17"/>
  <c r="N17"/>
  <c r="D22"/>
  <c r="I22"/>
  <c r="M22"/>
  <c r="J24"/>
  <c r="E25"/>
  <c r="J25"/>
  <c r="N25"/>
  <c r="D30"/>
  <c r="I30"/>
  <c r="M30"/>
  <c r="J32"/>
  <c r="E33"/>
  <c r="J33"/>
  <c r="N33"/>
  <c r="D38"/>
  <c r="I38"/>
  <c r="M38"/>
  <c r="J40"/>
  <c r="E41"/>
  <c r="J41"/>
  <c r="N41"/>
  <c r="D46"/>
  <c r="L46"/>
  <c r="J48"/>
  <c r="I49"/>
  <c r="H50"/>
  <c r="J56"/>
  <c r="I57"/>
  <c r="H58"/>
  <c r="J64"/>
  <c r="I65"/>
  <c r="H66"/>
  <c r="J4"/>
  <c r="E5"/>
  <c r="J5"/>
  <c r="N5"/>
  <c r="C6"/>
  <c r="H6"/>
  <c r="L6"/>
  <c r="E8"/>
  <c r="N8"/>
  <c r="D9"/>
  <c r="I9"/>
  <c r="M9"/>
  <c r="D10"/>
  <c r="I10"/>
  <c r="M10"/>
  <c r="J12"/>
  <c r="E13"/>
  <c r="J13"/>
  <c r="N13"/>
  <c r="C14"/>
  <c r="H14"/>
  <c r="L14"/>
  <c r="E16"/>
  <c r="N16"/>
  <c r="D17"/>
  <c r="I17"/>
  <c r="M17"/>
  <c r="D18"/>
  <c r="I18"/>
  <c r="M18"/>
  <c r="J20"/>
  <c r="E21"/>
  <c r="J21"/>
  <c r="N21"/>
  <c r="C22"/>
  <c r="H22"/>
  <c r="L22"/>
  <c r="E24"/>
  <c r="N24"/>
  <c r="D25"/>
  <c r="I25"/>
  <c r="M25"/>
  <c r="D26"/>
  <c r="I26"/>
  <c r="M26"/>
  <c r="J28"/>
  <c r="E29"/>
  <c r="J29"/>
  <c r="N29"/>
  <c r="C30"/>
  <c r="H30"/>
  <c r="L30"/>
  <c r="E32"/>
  <c r="N32"/>
  <c r="D33"/>
  <c r="I33"/>
  <c r="M33"/>
  <c r="D34"/>
  <c r="I34"/>
  <c r="M34"/>
  <c r="J36"/>
  <c r="E37"/>
  <c r="J37"/>
  <c r="N37"/>
  <c r="C38"/>
  <c r="H38"/>
  <c r="L38"/>
  <c r="E40"/>
  <c r="N40"/>
  <c r="D41"/>
  <c r="I41"/>
  <c r="M41"/>
  <c r="D42"/>
  <c r="I42"/>
  <c r="M42"/>
  <c r="J44"/>
  <c r="E45"/>
  <c r="J45"/>
  <c r="N45"/>
  <c r="C46"/>
  <c r="H46"/>
  <c r="E48"/>
  <c r="N48"/>
  <c r="D49"/>
  <c r="M49"/>
  <c r="C50"/>
  <c r="L50"/>
  <c r="J52"/>
  <c r="I53"/>
  <c r="H54"/>
  <c r="E56"/>
  <c r="N56"/>
  <c r="D57"/>
  <c r="M57"/>
  <c r="C58"/>
  <c r="L58"/>
  <c r="J60"/>
  <c r="I61"/>
  <c r="H62"/>
  <c r="E64"/>
  <c r="N64"/>
  <c r="D65"/>
  <c r="M65"/>
  <c r="C66"/>
  <c r="L66"/>
  <c r="F7"/>
  <c r="K7"/>
  <c r="O7"/>
  <c r="F11"/>
  <c r="K11"/>
  <c r="O11"/>
  <c r="F15"/>
  <c r="K15"/>
  <c r="O15"/>
  <c r="F19"/>
  <c r="K19"/>
  <c r="O19"/>
  <c r="F23"/>
  <c r="K23"/>
  <c r="O23"/>
  <c r="F27"/>
  <c r="K27"/>
  <c r="O27"/>
  <c r="F31"/>
  <c r="K31"/>
  <c r="O31"/>
  <c r="F35"/>
  <c r="K35"/>
  <c r="O35"/>
  <c r="F39"/>
  <c r="K39"/>
  <c r="O39"/>
  <c r="F43"/>
  <c r="K43"/>
  <c r="O43"/>
  <c r="F47"/>
  <c r="K47"/>
  <c r="O47"/>
  <c r="F51"/>
  <c r="K51"/>
  <c r="O51"/>
  <c r="F55"/>
  <c r="K55"/>
  <c r="O55"/>
  <c r="F59"/>
  <c r="K59"/>
  <c r="O59"/>
  <c r="F63"/>
  <c r="K63"/>
  <c r="O63"/>
  <c r="F67"/>
  <c r="K67"/>
  <c r="O67"/>
  <c r="D4"/>
  <c r="I4"/>
  <c r="M4"/>
  <c r="C5"/>
  <c r="H5"/>
  <c r="L5"/>
  <c r="F6"/>
  <c r="K6"/>
  <c r="O6"/>
  <c r="E7"/>
  <c r="J7"/>
  <c r="N7"/>
  <c r="D8"/>
  <c r="I8"/>
  <c r="M8"/>
  <c r="C9"/>
  <c r="H9"/>
  <c r="L9"/>
  <c r="F10"/>
  <c r="K10"/>
  <c r="O10"/>
  <c r="E11"/>
  <c r="J11"/>
  <c r="N11"/>
  <c r="D12"/>
  <c r="I12"/>
  <c r="M12"/>
  <c r="C13"/>
  <c r="H13"/>
  <c r="L13"/>
  <c r="F14"/>
  <c r="K14"/>
  <c r="O14"/>
  <c r="E15"/>
  <c r="J15"/>
  <c r="N15"/>
  <c r="D16"/>
  <c r="I16"/>
  <c r="M16"/>
  <c r="C17"/>
  <c r="H17"/>
  <c r="L17"/>
  <c r="F18"/>
  <c r="K18"/>
  <c r="O18"/>
  <c r="E19"/>
  <c r="J19"/>
  <c r="N19"/>
  <c r="D20"/>
  <c r="I20"/>
  <c r="M20"/>
  <c r="C21"/>
  <c r="H21"/>
  <c r="L21"/>
  <c r="F22"/>
  <c r="K22"/>
  <c r="O22"/>
  <c r="E23"/>
  <c r="J23"/>
  <c r="N23"/>
  <c r="D24"/>
  <c r="I24"/>
  <c r="M24"/>
  <c r="C25"/>
  <c r="H25"/>
  <c r="L25"/>
  <c r="F26"/>
  <c r="K26"/>
  <c r="O26"/>
  <c r="E27"/>
  <c r="J27"/>
  <c r="N27"/>
  <c r="D28"/>
  <c r="I28"/>
  <c r="M28"/>
  <c r="C29"/>
  <c r="H29"/>
  <c r="L29"/>
  <c r="F30"/>
  <c r="K30"/>
  <c r="O30"/>
  <c r="E31"/>
  <c r="J31"/>
  <c r="N31"/>
  <c r="D32"/>
  <c r="I32"/>
  <c r="M32"/>
  <c r="C33"/>
  <c r="H33"/>
  <c r="L33"/>
  <c r="F34"/>
  <c r="K34"/>
  <c r="O34"/>
  <c r="E35"/>
  <c r="J35"/>
  <c r="N35"/>
  <c r="D36"/>
  <c r="I36"/>
  <c r="M36"/>
  <c r="C37"/>
  <c r="H37"/>
  <c r="L37"/>
  <c r="F38"/>
  <c r="K38"/>
  <c r="O38"/>
  <c r="E39"/>
  <c r="J39"/>
  <c r="N39"/>
  <c r="D40"/>
  <c r="I40"/>
  <c r="M40"/>
  <c r="C41"/>
  <c r="H41"/>
  <c r="L41"/>
  <c r="F42"/>
  <c r="K42"/>
  <c r="O42"/>
  <c r="E43"/>
  <c r="J43"/>
  <c r="N43"/>
  <c r="D44"/>
  <c r="I44"/>
  <c r="M44"/>
  <c r="C45"/>
  <c r="H45"/>
  <c r="L45"/>
  <c r="F46"/>
  <c r="K46"/>
  <c r="O46"/>
  <c r="E47"/>
  <c r="J47"/>
  <c r="N47"/>
  <c r="D48"/>
  <c r="I48"/>
  <c r="M48"/>
  <c r="C49"/>
  <c r="H49"/>
  <c r="L49"/>
  <c r="F50"/>
  <c r="K50"/>
  <c r="O50"/>
  <c r="E51"/>
  <c r="J51"/>
  <c r="N51"/>
  <c r="D52"/>
  <c r="I52"/>
  <c r="M52"/>
  <c r="C53"/>
  <c r="H53"/>
  <c r="L53"/>
  <c r="F54"/>
  <c r="K54"/>
  <c r="O54"/>
  <c r="E55"/>
  <c r="J55"/>
  <c r="N55"/>
  <c r="D56"/>
  <c r="I56"/>
  <c r="M56"/>
  <c r="C57"/>
  <c r="H57"/>
  <c r="L57"/>
  <c r="F58"/>
  <c r="K58"/>
  <c r="O58"/>
  <c r="E59"/>
  <c r="J59"/>
  <c r="N59"/>
  <c r="D60"/>
  <c r="I60"/>
  <c r="M60"/>
  <c r="C61"/>
  <c r="H61"/>
  <c r="L61"/>
  <c r="F62"/>
  <c r="K62"/>
  <c r="O62"/>
  <c r="E63"/>
  <c r="J63"/>
  <c r="N63"/>
  <c r="D64"/>
  <c r="I64"/>
  <c r="M64"/>
  <c r="C65"/>
  <c r="H65"/>
  <c r="L65"/>
  <c r="F66"/>
  <c r="K66"/>
  <c r="O66"/>
  <c r="E67"/>
  <c r="J67"/>
  <c r="N67"/>
  <c r="C4"/>
  <c r="H4"/>
  <c r="L4"/>
  <c r="F5"/>
  <c r="K5"/>
  <c r="E6"/>
  <c r="J6"/>
  <c r="D7"/>
  <c r="I7"/>
  <c r="M7"/>
  <c r="C8"/>
  <c r="H8"/>
  <c r="L8"/>
  <c r="K9"/>
  <c r="E10"/>
  <c r="J10"/>
  <c r="D11"/>
  <c r="I11"/>
  <c r="M11"/>
  <c r="C12"/>
  <c r="H12"/>
  <c r="L12"/>
  <c r="F13"/>
  <c r="K13"/>
  <c r="E14"/>
  <c r="J14"/>
  <c r="D15"/>
  <c r="I15"/>
  <c r="M15"/>
  <c r="C16"/>
  <c r="H16"/>
  <c r="L16"/>
  <c r="K17"/>
  <c r="E18"/>
  <c r="J18"/>
  <c r="D19"/>
  <c r="I19"/>
  <c r="M19"/>
  <c r="C20"/>
  <c r="H20"/>
  <c r="L20"/>
  <c r="F21"/>
  <c r="K21"/>
  <c r="E22"/>
  <c r="J22"/>
  <c r="D23"/>
  <c r="I23"/>
  <c r="M23"/>
  <c r="C24"/>
  <c r="H24"/>
  <c r="L24"/>
  <c r="F25"/>
  <c r="K25"/>
  <c r="E26"/>
  <c r="J26"/>
  <c r="D27"/>
  <c r="I27"/>
  <c r="M27"/>
  <c r="C28"/>
  <c r="H28"/>
  <c r="L28"/>
  <c r="F29"/>
  <c r="K29"/>
  <c r="E30"/>
  <c r="J30"/>
  <c r="D31"/>
  <c r="I31"/>
  <c r="M31"/>
  <c r="C32"/>
  <c r="H32"/>
  <c r="L32"/>
  <c r="F33"/>
  <c r="K33"/>
  <c r="E34"/>
  <c r="J34"/>
  <c r="D35"/>
  <c r="I35"/>
  <c r="M35"/>
  <c r="C36"/>
  <c r="H36"/>
  <c r="L36"/>
  <c r="F37"/>
  <c r="K37"/>
  <c r="E38"/>
  <c r="J38"/>
  <c r="D39"/>
  <c r="I39"/>
  <c r="M39"/>
  <c r="C40"/>
  <c r="H40"/>
  <c r="L40"/>
  <c r="F41"/>
  <c r="K41"/>
  <c r="E42"/>
  <c r="J42"/>
  <c r="D43"/>
  <c r="I43"/>
  <c r="M43"/>
  <c r="C44"/>
  <c r="H44"/>
  <c r="L44"/>
  <c r="F45"/>
  <c r="K45"/>
  <c r="E46"/>
  <c r="J46"/>
  <c r="N46"/>
  <c r="D47"/>
  <c r="I47"/>
  <c r="M47"/>
  <c r="C48"/>
  <c r="H48"/>
  <c r="L48"/>
  <c r="F49"/>
  <c r="K49"/>
  <c r="O49"/>
  <c r="E50"/>
  <c r="J50"/>
  <c r="N50"/>
  <c r="D51"/>
  <c r="I51"/>
  <c r="M51"/>
  <c r="C52"/>
  <c r="H52"/>
  <c r="L52"/>
  <c r="F53"/>
  <c r="K53"/>
  <c r="O53"/>
  <c r="E54"/>
  <c r="J54"/>
  <c r="N54"/>
  <c r="D55"/>
  <c r="I55"/>
  <c r="M55"/>
  <c r="C56"/>
  <c r="H56"/>
  <c r="L56"/>
  <c r="F57"/>
  <c r="K57"/>
  <c r="O57"/>
  <c r="E58"/>
  <c r="J58"/>
  <c r="N58"/>
  <c r="D59"/>
  <c r="I59"/>
  <c r="M59"/>
  <c r="C60"/>
  <c r="H60"/>
  <c r="L60"/>
  <c r="F61"/>
  <c r="K61"/>
  <c r="O61"/>
  <c r="E62"/>
  <c r="J62"/>
  <c r="N62"/>
  <c r="D63"/>
  <c r="I63"/>
  <c r="M63"/>
  <c r="C64"/>
  <c r="H64"/>
  <c r="L64"/>
  <c r="F65"/>
  <c r="K65"/>
  <c r="O65"/>
  <c r="E66"/>
  <c r="J66"/>
  <c r="N66"/>
  <c r="D67"/>
  <c r="I67"/>
  <c r="M67"/>
  <c r="F4"/>
  <c r="K4"/>
  <c r="C7"/>
  <c r="H7"/>
  <c r="K8"/>
  <c r="C11"/>
  <c r="H11"/>
  <c r="F12"/>
  <c r="K12"/>
  <c r="C15"/>
  <c r="H15"/>
  <c r="F16"/>
  <c r="K16"/>
  <c r="C19"/>
  <c r="H19"/>
  <c r="F20"/>
  <c r="K20"/>
  <c r="C23"/>
  <c r="H23"/>
  <c r="F24"/>
  <c r="K24"/>
  <c r="C27"/>
  <c r="H27"/>
  <c r="F28"/>
  <c r="K28"/>
  <c r="C31"/>
  <c r="H31"/>
  <c r="F32"/>
  <c r="K32"/>
  <c r="C35"/>
  <c r="H35"/>
  <c r="F36"/>
  <c r="K36"/>
  <c r="C39"/>
  <c r="H39"/>
  <c r="F40"/>
  <c r="K40"/>
  <c r="C43"/>
  <c r="H43"/>
  <c r="F44"/>
  <c r="K44"/>
  <c r="I46"/>
  <c r="C47"/>
  <c r="H47"/>
  <c r="F48"/>
  <c r="K48"/>
  <c r="E49"/>
  <c r="J49"/>
  <c r="D50"/>
  <c r="I50"/>
  <c r="C51"/>
  <c r="H51"/>
  <c r="F52"/>
  <c r="K52"/>
  <c r="E53"/>
  <c r="J53"/>
  <c r="D54"/>
  <c r="I54"/>
  <c r="C55"/>
  <c r="H55"/>
  <c r="F56"/>
  <c r="K56"/>
  <c r="E57"/>
  <c r="J57"/>
  <c r="D58"/>
  <c r="I58"/>
  <c r="C59"/>
  <c r="H59"/>
  <c r="F60"/>
  <c r="K60"/>
  <c r="E61"/>
  <c r="J61"/>
  <c r="D62"/>
  <c r="I62"/>
  <c r="C63"/>
  <c r="H63"/>
  <c r="F64"/>
  <c r="K64"/>
  <c r="E65"/>
  <c r="J65"/>
  <c r="D66"/>
  <c r="I66"/>
  <c r="C67"/>
  <c r="H67"/>
</calcChain>
</file>

<file path=xl/sharedStrings.xml><?xml version="1.0" encoding="utf-8"?>
<sst xmlns="http://schemas.openxmlformats.org/spreadsheetml/2006/main" count="1753" uniqueCount="482">
  <si>
    <t>Модуль</t>
  </si>
  <si>
    <t>Канал</t>
  </si>
  <si>
    <t>Позиция</t>
  </si>
  <si>
    <t>Регламент</t>
  </si>
  <si>
    <t>Выход</t>
  </si>
  <si>
    <t>min</t>
  </si>
  <si>
    <t>max</t>
  </si>
  <si>
    <t>sgn</t>
  </si>
  <si>
    <t>blok</t>
  </si>
  <si>
    <t>Сигнализация</t>
  </si>
  <si>
    <t>Блокировка</t>
  </si>
  <si>
    <t>Шкала</t>
  </si>
  <si>
    <t>Примечание</t>
  </si>
  <si>
    <t>Норма</t>
  </si>
  <si>
    <t>SB1</t>
  </si>
  <si>
    <t>Кнопка опробования сигнализации (КОС)</t>
  </si>
  <si>
    <t>SB2</t>
  </si>
  <si>
    <t>Кнопка снятия сигнализации (КСС)</t>
  </si>
  <si>
    <t>1756-IB32</t>
  </si>
  <si>
    <t>UPS-1</t>
  </si>
  <si>
    <t>Контроль напряжения на входе UPS-1</t>
  </si>
  <si>
    <t>UPS-2</t>
  </si>
  <si>
    <t>Контроль напряжения на входе UPS-2</t>
  </si>
  <si>
    <t>Сигнализация по блокировке</t>
  </si>
  <si>
    <t>Сигнализация по технологии</t>
  </si>
  <si>
    <t>HL3</t>
  </si>
  <si>
    <t>Звуковая сигнализация</t>
  </si>
  <si>
    <t>1756-OB32</t>
  </si>
  <si>
    <t>Номер</t>
  </si>
  <si>
    <t>Перечень входных аналоговых сигналов</t>
  </si>
  <si>
    <t>Размерность</t>
  </si>
  <si>
    <t>№ аналог. поз.</t>
  </si>
  <si>
    <t>Наличие сигнализации</t>
  </si>
  <si>
    <t>Описание</t>
  </si>
  <si>
    <t>№ регулятора</t>
  </si>
  <si>
    <t>Исполнение</t>
  </si>
  <si>
    <t>1756-IF16</t>
  </si>
  <si>
    <t>1756-OF8</t>
  </si>
  <si>
    <t>Нет 220В на вх. UPS-1</t>
  </si>
  <si>
    <t>Нет 220В на вх. UPS-2</t>
  </si>
  <si>
    <t>Перечень  параметров дискретных входных сигналов</t>
  </si>
  <si>
    <t>Перечень  параметров дискретных выходных сигналов</t>
  </si>
  <si>
    <t>Перечень выходных аналоговых сигналов</t>
  </si>
  <si>
    <t>Адрес</t>
  </si>
  <si>
    <t>Номер в протоколе</t>
  </si>
  <si>
    <t>Давление в ресивере V-1</t>
  </si>
  <si>
    <t>кПа</t>
  </si>
  <si>
    <t>Давление в отделителе высокого давления V-8</t>
  </si>
  <si>
    <t>Мпа</t>
  </si>
  <si>
    <t>Давление в отделителе низкого давления V-9</t>
  </si>
  <si>
    <t>при продувках до 300 кПа</t>
  </si>
  <si>
    <t>Уровень п/э в отделителе низкого давления V-9</t>
  </si>
  <si>
    <t>%</t>
  </si>
  <si>
    <t>Уровень п/э в отделителе выкого давления V-8</t>
  </si>
  <si>
    <t>Iвх = 0÷5 мА</t>
  </si>
  <si>
    <t>Расход конденсата к режущему устройству Z-1</t>
  </si>
  <si>
    <t>м³/час</t>
  </si>
  <si>
    <t>кг/час</t>
  </si>
  <si>
    <t>Расход возвратного газа из С-1 в рессивер V-2</t>
  </si>
  <si>
    <t>Регулирование давления в ресивере V-1</t>
  </si>
  <si>
    <t>регулирование уровеня п/э в отделителе выкого давления V-8</t>
  </si>
  <si>
    <t>°С</t>
  </si>
  <si>
    <t>Температура на выходе из продуктового холодильника E-10</t>
  </si>
  <si>
    <t>МПа</t>
  </si>
  <si>
    <t>Число оборотов компрессора C-2</t>
  </si>
  <si>
    <t>об/мин</t>
  </si>
  <si>
    <t>Число оборотов компрессора второго каскада C-3/2</t>
  </si>
  <si>
    <t>Температура на входе в рессивер V-2</t>
  </si>
  <si>
    <t>Давление нагнетания экструзионного насоса P-4</t>
  </si>
  <si>
    <t>Температура этилена на выходе из холодильников Е-7</t>
  </si>
  <si>
    <t>Температура на выходе из смесительной ёмкости V-5</t>
  </si>
  <si>
    <t>Температура газа на входе в верхнюю часть реактора V-7 от С -3/1</t>
  </si>
  <si>
    <t>Температура газа на входе в верхнюю часть реактора V-7 от С -3/2</t>
  </si>
  <si>
    <t>Температура газа на входе в нижнюю часть реактора V-7 от С -3/1</t>
  </si>
  <si>
    <t>Температура газа на входе в нижнюю часть реактора V-7 от С -3/2</t>
  </si>
  <si>
    <t>Температура газа на входе в верхнюю часть реактора V-7</t>
  </si>
  <si>
    <t>Температура газа на входе в нижнюю часть реактора V-7</t>
  </si>
  <si>
    <t>Температура верхнего бандажа реактора V-7</t>
  </si>
  <si>
    <t>Температура бандажа серидины нижней части реактора V-7</t>
  </si>
  <si>
    <t>Температура нижнего бандажа реактора V-7</t>
  </si>
  <si>
    <t>Температура воздуха из рубашек реактора V-7</t>
  </si>
  <si>
    <t>Температура газа из отделителя высокого давления V-8</t>
  </si>
  <si>
    <t>Температура на выходе из холодильника Е-7/1</t>
  </si>
  <si>
    <t>Температура на входе в холодильники Е-7/1÷3 возвратного газа</t>
  </si>
  <si>
    <t>Температура на выходе из холодильника Е-7/2</t>
  </si>
  <si>
    <t>Температура на выходе из холодильника Е-7/3</t>
  </si>
  <si>
    <t>Температура газа из отделителя низкого давления V-9</t>
  </si>
  <si>
    <t>Температура сдувочного газа из F-3</t>
  </si>
  <si>
    <t>Температура конденсата из материалапровода холодильника Е-10</t>
  </si>
  <si>
    <t>Температура из рубашки продуктового холодильника Е-10</t>
  </si>
  <si>
    <t>Температура конденсата из рубашки отделителя высого давления V-8</t>
  </si>
  <si>
    <t>Температура конденсата в рубашке нагнетательных тр-дов Р-1, Р-2</t>
  </si>
  <si>
    <t>Температура конденсата в рубашке нагнетательных тр-дов Р-0,Р-1,Р-2</t>
  </si>
  <si>
    <t>Температура стенки реактора V-7</t>
  </si>
  <si>
    <t>Высокий уровень п/э в отделителе низкого давления V-9</t>
  </si>
  <si>
    <t>Высокий уровень п/э в отделителе выкого давления V-8</t>
  </si>
  <si>
    <t>Высокая температура стенки реактора V-7</t>
  </si>
  <si>
    <t>Низкий уровень п/э в отделителе низкого давления V-9</t>
  </si>
  <si>
    <t>Низкий уровень п/э в отделителе выкого давления V-8</t>
  </si>
  <si>
    <t>41 PRC-4</t>
  </si>
  <si>
    <t>41 PR-45</t>
  </si>
  <si>
    <t>41 PR-46</t>
  </si>
  <si>
    <t>41 LRCA-4</t>
  </si>
  <si>
    <t>41 LRA-6</t>
  </si>
  <si>
    <t>41 FR-13</t>
  </si>
  <si>
    <t>41 FR-5</t>
  </si>
  <si>
    <t>41 TRCSA-5</t>
  </si>
  <si>
    <t>41 TRC-6</t>
  </si>
  <si>
    <t>41 PRA-43</t>
  </si>
  <si>
    <t>41 SR -1</t>
  </si>
  <si>
    <t>41 SR -2</t>
  </si>
  <si>
    <t>41 PRSA-84</t>
  </si>
  <si>
    <t>41 TR 101/1</t>
  </si>
  <si>
    <t>41 TR 101/3</t>
  </si>
  <si>
    <t>41 TR 101/4</t>
  </si>
  <si>
    <t>41 TR 101/5</t>
  </si>
  <si>
    <t>41 TR 101/6</t>
  </si>
  <si>
    <t>41 TR 101/7</t>
  </si>
  <si>
    <t>41 TR 101/8</t>
  </si>
  <si>
    <t>41 TR 101/9</t>
  </si>
  <si>
    <t>41 TR 101/10</t>
  </si>
  <si>
    <t>41 TR 101/16</t>
  </si>
  <si>
    <t>41 TR 101/18</t>
  </si>
  <si>
    <t>41 TR 101/19</t>
  </si>
  <si>
    <t>41 TR 101/20</t>
  </si>
  <si>
    <t>41 TR 101/21</t>
  </si>
  <si>
    <t>41 TR 101/26</t>
  </si>
  <si>
    <t>41 TR 101/27</t>
  </si>
  <si>
    <t>41 TR 101/28</t>
  </si>
  <si>
    <t>41 TR 101/29</t>
  </si>
  <si>
    <t>41 TR 101/30</t>
  </si>
  <si>
    <t>41 TR 101/31</t>
  </si>
  <si>
    <t>41 TR 101/32</t>
  </si>
  <si>
    <t>41 TR 101/40</t>
  </si>
  <si>
    <t>41 TR 101/41</t>
  </si>
  <si>
    <t>41 TR 101/43</t>
  </si>
  <si>
    <t>41 TR 101/52</t>
  </si>
  <si>
    <t>42 TR 101/52</t>
  </si>
  <si>
    <t>43 PRSA-84</t>
  </si>
  <si>
    <t>43 TR 101/52</t>
  </si>
  <si>
    <t>42 PRC-4</t>
  </si>
  <si>
    <t>42 PR-45</t>
  </si>
  <si>
    <t>42 PR-46</t>
  </si>
  <si>
    <t>42 LRCA-4</t>
  </si>
  <si>
    <t>43 FR-13</t>
  </si>
  <si>
    <t>42 FR-13</t>
  </si>
  <si>
    <t>42 LRA-6</t>
  </si>
  <si>
    <t>42 FR-5</t>
  </si>
  <si>
    <t>42 TRCSA-5</t>
  </si>
  <si>
    <t>42 TRC-6</t>
  </si>
  <si>
    <t>42 PRA-43</t>
  </si>
  <si>
    <t>42 SR -1</t>
  </si>
  <si>
    <t>42 SR -2</t>
  </si>
  <si>
    <t>42 TR 101/1</t>
  </si>
  <si>
    <t>42 TR 101/3</t>
  </si>
  <si>
    <t>42 TR 101/4</t>
  </si>
  <si>
    <t>42 TR 101/5</t>
  </si>
  <si>
    <t>42 TR 101/6</t>
  </si>
  <si>
    <t>42 TR 101/7</t>
  </si>
  <si>
    <t>42 TR 101/8</t>
  </si>
  <si>
    <t>42 TR 101/9</t>
  </si>
  <si>
    <t>42 TR 101/10</t>
  </si>
  <si>
    <t>42 TR 101/16</t>
  </si>
  <si>
    <t>42 TR 101/18</t>
  </si>
  <si>
    <t>42 TR 101/19</t>
  </si>
  <si>
    <t>42 TR 101/20</t>
  </si>
  <si>
    <t>42 TR 101/21</t>
  </si>
  <si>
    <t>42 TR 101/26</t>
  </si>
  <si>
    <t>42 TR 101/27</t>
  </si>
  <si>
    <t>42 TR 101/28</t>
  </si>
  <si>
    <t>42 TR 101/29</t>
  </si>
  <si>
    <t>42 TR 101/30</t>
  </si>
  <si>
    <t>42 TR 101/31</t>
  </si>
  <si>
    <t>42 TR 101/32</t>
  </si>
  <si>
    <t>42 TR 101/40</t>
  </si>
  <si>
    <t>42 TR 101/41</t>
  </si>
  <si>
    <t>42 TR 101/43</t>
  </si>
  <si>
    <t>43 PRC-4</t>
  </si>
  <si>
    <t>43 PR-45</t>
  </si>
  <si>
    <t>43 PR-46</t>
  </si>
  <si>
    <t>43 LRCA-4</t>
  </si>
  <si>
    <t>43 LRA-6</t>
  </si>
  <si>
    <t>43 FR-5</t>
  </si>
  <si>
    <t>43 TRCSA-5</t>
  </si>
  <si>
    <t>43 TRC-6</t>
  </si>
  <si>
    <t>43 PRA-43</t>
  </si>
  <si>
    <t>43 SR -1</t>
  </si>
  <si>
    <t>43 SR -2</t>
  </si>
  <si>
    <t>43 TR 101/1</t>
  </si>
  <si>
    <t>43 TR 101/3</t>
  </si>
  <si>
    <t>43 TR 101/4</t>
  </si>
  <si>
    <t>43 TR 101/5</t>
  </si>
  <si>
    <t>43 TR 101/6</t>
  </si>
  <si>
    <t>43 TR 101/7</t>
  </si>
  <si>
    <t>43 TR 101/8</t>
  </si>
  <si>
    <t>43 TR 101/9</t>
  </si>
  <si>
    <t>43 TR 101/10</t>
  </si>
  <si>
    <t>43 TR 101/16</t>
  </si>
  <si>
    <t>43 TR 101/18</t>
  </si>
  <si>
    <t>43 TR 101/19</t>
  </si>
  <si>
    <t>43 TR 101/20</t>
  </si>
  <si>
    <t>43 TR 101/21</t>
  </si>
  <si>
    <t>43 TR 101/26</t>
  </si>
  <si>
    <t>43 TR 101/27</t>
  </si>
  <si>
    <t>43 TR 101/28</t>
  </si>
  <si>
    <t>43 TR 101/29</t>
  </si>
  <si>
    <t>43 TR 101/30</t>
  </si>
  <si>
    <t>43 TR 101/31</t>
  </si>
  <si>
    <t>43 TR 101/32</t>
  </si>
  <si>
    <t>43 TR 101/40</t>
  </si>
  <si>
    <t>43 TR 101/41</t>
  </si>
  <si>
    <t>43 TR 101/43</t>
  </si>
  <si>
    <t>44 PRC-4</t>
  </si>
  <si>
    <t>44 PR-45</t>
  </si>
  <si>
    <t>44 PR-46</t>
  </si>
  <si>
    <t>44 LRCA-4</t>
  </si>
  <si>
    <t>44 LRA-6</t>
  </si>
  <si>
    <t>44 FR-13</t>
  </si>
  <si>
    <t>44 FR-5</t>
  </si>
  <si>
    <t>44 TRCSA-5</t>
  </si>
  <si>
    <t>44 TRC-6</t>
  </si>
  <si>
    <t>44 PRA-43</t>
  </si>
  <si>
    <t>44 SR -1</t>
  </si>
  <si>
    <t>44 SR -2</t>
  </si>
  <si>
    <t>44 TR 101/1</t>
  </si>
  <si>
    <t>44 TR 101/3</t>
  </si>
  <si>
    <t>44 TR 101/4</t>
  </si>
  <si>
    <t>44 TR 101/5</t>
  </si>
  <si>
    <t>44 TR 101/6</t>
  </si>
  <si>
    <t>44 TR 101/7</t>
  </si>
  <si>
    <t>44 TR 101/8</t>
  </si>
  <si>
    <t>44 TR 101/9</t>
  </si>
  <si>
    <t>44 TR 101/10</t>
  </si>
  <si>
    <t>44 TR 101/16</t>
  </si>
  <si>
    <t>44 TR 101/18</t>
  </si>
  <si>
    <t>44 TR 101/19</t>
  </si>
  <si>
    <t>44 TR 101/20</t>
  </si>
  <si>
    <t>44 TR101/52</t>
  </si>
  <si>
    <t>44 TR 101/21</t>
  </si>
  <si>
    <t>44 TR 101/26</t>
  </si>
  <si>
    <t>44 TR 101/27</t>
  </si>
  <si>
    <t>44 TR 101/28</t>
  </si>
  <si>
    <t>44 TR 101/29</t>
  </si>
  <si>
    <t>44 TR 101/30</t>
  </si>
  <si>
    <t>44 TR 101/31</t>
  </si>
  <si>
    <t>44 TR 101/32</t>
  </si>
  <si>
    <t>44 TR 101/40</t>
  </si>
  <si>
    <t>44 TR 101/41</t>
  </si>
  <si>
    <t>44 TR 101/43</t>
  </si>
  <si>
    <t>41 HL1</t>
  </si>
  <si>
    <t>42 HL2</t>
  </si>
  <si>
    <t>41 HL2</t>
  </si>
  <si>
    <t>41 HA1</t>
  </si>
  <si>
    <t>42 HL1</t>
  </si>
  <si>
    <t>42 HA1</t>
  </si>
  <si>
    <t>43 HL1</t>
  </si>
  <si>
    <t>43 HL2</t>
  </si>
  <si>
    <t>43 HA1</t>
  </si>
  <si>
    <t>44 HL1</t>
  </si>
  <si>
    <t>44 HL2</t>
  </si>
  <si>
    <t>44 HA1</t>
  </si>
  <si>
    <t>G5-1</t>
  </si>
  <si>
    <t>G5-2</t>
  </si>
  <si>
    <t>есть в проекте</t>
  </si>
  <si>
    <t>G6 PA75R-1_1</t>
  </si>
  <si>
    <t>Контроль блока питания PA-75R-1_BP1</t>
  </si>
  <si>
    <t>G8 PA75R-1_2</t>
  </si>
  <si>
    <t>Контроль блока питания PA-75R-1_BP2</t>
  </si>
  <si>
    <t>G9 PA75R-2_2</t>
  </si>
  <si>
    <t>G7 PA75R-2_1</t>
  </si>
  <si>
    <t>Контроль блока питания PA-75R-2_BP1</t>
  </si>
  <si>
    <t>Контроль блока питания PA-75R-2_BP2</t>
  </si>
  <si>
    <t>Сбой БП 24В-1</t>
  </si>
  <si>
    <t>Сбой БП 24В-2</t>
  </si>
  <si>
    <t>Неисправность рабочих станций</t>
  </si>
  <si>
    <t>Сверхвысокая температура стенки реактора V-7</t>
  </si>
  <si>
    <t>Сверхвысокое давление нагнетания экструзионного насоса P-4</t>
  </si>
  <si>
    <t>НО</t>
  </si>
  <si>
    <t>НЗ</t>
  </si>
  <si>
    <t>Давление в реакторе V-7                 10204-003</t>
  </si>
  <si>
    <t>в зависимости от марки                     10604-007</t>
  </si>
  <si>
    <t>полиэтилена                                         10703-020, 10803-020</t>
  </si>
  <si>
    <t xml:space="preserve">                                                               11503-070</t>
  </si>
  <si>
    <t xml:space="preserve">                                                               12003-200</t>
  </si>
  <si>
    <t xml:space="preserve">                                                               12903-003</t>
  </si>
  <si>
    <t>10204-003</t>
  </si>
  <si>
    <t>10604-007</t>
  </si>
  <si>
    <t>10703-020, 10803-020</t>
  </si>
  <si>
    <t>11503-070</t>
  </si>
  <si>
    <t>12003-200</t>
  </si>
  <si>
    <t>12903-003</t>
  </si>
  <si>
    <t>2/1</t>
  </si>
  <si>
    <t>2/2</t>
  </si>
  <si>
    <t>2/5</t>
  </si>
  <si>
    <t>2/6</t>
  </si>
  <si>
    <t>2/8</t>
  </si>
  <si>
    <t>Сбой БП PA-75R-1A Корзина 1</t>
  </si>
  <si>
    <t>Сбой БП PA-75R-1B Корзина 1</t>
  </si>
  <si>
    <t>Сбой БП PA-75R-2A Корзина 2</t>
  </si>
  <si>
    <t>Сбой БП PA-75R-2B Корзина 2</t>
  </si>
  <si>
    <t>Контроль блока питания G-3 БП 24В-1</t>
  </si>
  <si>
    <t>Контроль блока питания G-4 БП 24В-1</t>
  </si>
  <si>
    <t>41 LRCA-4/1</t>
  </si>
  <si>
    <t>41 LRCA-4/2</t>
  </si>
  <si>
    <t>42 LRCA-4/1</t>
  </si>
  <si>
    <t>42 LRCA-4/2</t>
  </si>
  <si>
    <t>43 LRCA-4/1</t>
  </si>
  <si>
    <t>43 LRCA-4/2</t>
  </si>
  <si>
    <t>44 LRCA-4/1</t>
  </si>
  <si>
    <t>44 LRCA-4/2</t>
  </si>
  <si>
    <t>Высокий уровень п/э в отделителе выкого давления 41V-8</t>
  </si>
  <si>
    <t>Низкий уровень п/э в отделителе выкого давления 41V-8</t>
  </si>
  <si>
    <t>Высокий уровень п/э в отделителе выкого давления 42V-8</t>
  </si>
  <si>
    <t>Низкий уровень п/э в отделителе выкого давления 42V-8</t>
  </si>
  <si>
    <t>41 LRA-6/1</t>
  </si>
  <si>
    <t>41 LRA-6/2</t>
  </si>
  <si>
    <t>42 LRA-6/1</t>
  </si>
  <si>
    <t>42 LRA-6/2</t>
  </si>
  <si>
    <t>43 LRA-6/1</t>
  </si>
  <si>
    <t>43 LRA-6/2</t>
  </si>
  <si>
    <t>44 LRA-6/1</t>
  </si>
  <si>
    <t>44 LRA-6/2</t>
  </si>
  <si>
    <t>41 PR-10</t>
  </si>
  <si>
    <t>Давление в ресивере V-2</t>
  </si>
  <si>
    <t>44 PR-10</t>
  </si>
  <si>
    <t>43 PR-10</t>
  </si>
  <si>
    <t>42 PR-10</t>
  </si>
  <si>
    <t>42 PRSA-84</t>
  </si>
  <si>
    <t>44 PRSA-84</t>
  </si>
  <si>
    <t>.EN</t>
  </si>
  <si>
    <t>.i</t>
  </si>
  <si>
    <t>.isForce</t>
  </si>
  <si>
    <t>.vRaw</t>
  </si>
  <si>
    <t>.isCorrect</t>
  </si>
  <si>
    <t>.vCorrect</t>
  </si>
  <si>
    <t>.v</t>
  </si>
  <si>
    <t>.isCut</t>
  </si>
  <si>
    <t>.vCut</t>
  </si>
  <si>
    <t>AI.break.sgn</t>
  </si>
  <si>
    <t>AI.ZL</t>
  </si>
  <si>
    <t>AI.ZH</t>
  </si>
  <si>
    <t>AI.RL.EN</t>
  </si>
  <si>
    <t>AI.RL.V</t>
  </si>
  <si>
    <t>AI.RL.fix</t>
  </si>
  <si>
    <t>AI.RH.EN</t>
  </si>
  <si>
    <t>AI.RH.V</t>
  </si>
  <si>
    <t>AI.RH.fix</t>
  </si>
  <si>
    <t>AI.L.EN</t>
  </si>
  <si>
    <t>AI.L.V</t>
  </si>
  <si>
    <t>AI.L.fix</t>
  </si>
  <si>
    <t>AI.H.EN</t>
  </si>
  <si>
    <t>AI.H.V</t>
  </si>
  <si>
    <t>AI.H.fix</t>
  </si>
  <si>
    <t>AI.LL.EN</t>
  </si>
  <si>
    <t>AI.LL.V</t>
  </si>
  <si>
    <t>AI.LL.fix</t>
  </si>
  <si>
    <t>AI.HH.EN</t>
  </si>
  <si>
    <t>AI.HH.V</t>
  </si>
  <si>
    <t>AI.HH.fix</t>
  </si>
  <si>
    <t>.group</t>
  </si>
  <si>
    <t>.state</t>
  </si>
  <si>
    <t>Перечень  параметров (входные аналоги), Печь-1,8</t>
  </si>
  <si>
    <t>isInvScale</t>
  </si>
  <si>
    <t>cut</t>
  </si>
  <si>
    <t>FRCSA-1011-1</t>
  </si>
  <si>
    <t>Расход бензина поток 1 П-1</t>
  </si>
  <si>
    <t>т/ч</t>
  </si>
  <si>
    <t>FRCSA-1011-2</t>
  </si>
  <si>
    <t>Расход бензина поток 2 П-1</t>
  </si>
  <si>
    <t>FRCSA-1011-3</t>
  </si>
  <si>
    <t>Расход бензина поток 3 П-1</t>
  </si>
  <si>
    <t>FRCSA-1011-4</t>
  </si>
  <si>
    <t>Расход бензина поток 4 П-1</t>
  </si>
  <si>
    <t>FRCSA-1012-1</t>
  </si>
  <si>
    <t>Расход пара поток 1 П-1</t>
  </si>
  <si>
    <t>FRCSA-1012-2</t>
  </si>
  <si>
    <t>Расход пара поток 2 П-1</t>
  </si>
  <si>
    <t>FRCSA-1012-3</t>
  </si>
  <si>
    <t>Расход пара поток 3 П-1</t>
  </si>
  <si>
    <t>FRCSA-1012-4</t>
  </si>
  <si>
    <t>Расход пара поток 4 П-1</t>
  </si>
  <si>
    <t>FRCA-1013-1</t>
  </si>
  <si>
    <t>Расход топливного газа поток 1 П-1</t>
  </si>
  <si>
    <t>м3/ч</t>
  </si>
  <si>
    <t>FRCA-1013-2</t>
  </si>
  <si>
    <t>Расход топливного газа поток 2 П-1</t>
  </si>
  <si>
    <t>FRCSA-8011-1</t>
  </si>
  <si>
    <t>Расход бензина поток 1 П-8</t>
  </si>
  <si>
    <t>FRCSA-8011-2</t>
  </si>
  <si>
    <t>Расход бензина поток 2 П-8</t>
  </si>
  <si>
    <t>FRCSA-8011-3</t>
  </si>
  <si>
    <t>Расход бензина поток 3 П-8</t>
  </si>
  <si>
    <t>FRCSA-8011-4</t>
  </si>
  <si>
    <t>Расход бензина поток 4 П-8</t>
  </si>
  <si>
    <t>FRCSA-8012-1</t>
  </si>
  <si>
    <t>Расход пара поток 1 П-8</t>
  </si>
  <si>
    <t>FRCSA-8012-2</t>
  </si>
  <si>
    <t>Расход пара поток 2 П-8</t>
  </si>
  <si>
    <t>.isInvScale</t>
  </si>
  <si>
    <t>//</t>
  </si>
  <si>
    <t>EN</t>
  </si>
  <si>
    <t>group</t>
  </si>
  <si>
    <t>isVLow</t>
  </si>
  <si>
    <t>ZL</t>
  </si>
  <si>
    <t>ZH</t>
  </si>
  <si>
    <t>RL</t>
  </si>
  <si>
    <t>RH</t>
  </si>
  <si>
    <t>L</t>
  </si>
  <si>
    <t>H</t>
  </si>
  <si>
    <t>LL</t>
  </si>
  <si>
    <t>HH</t>
  </si>
  <si>
    <t>41 TR-101/22</t>
  </si>
  <si>
    <t>42 TR-101/22</t>
  </si>
  <si>
    <t>43 TR-101/22</t>
  </si>
  <si>
    <t>44 TR-101/22</t>
  </si>
  <si>
    <t>Температура в отделителе низк. Давления V-9</t>
  </si>
  <si>
    <t>Резерв 
102-131113-ОГП-631-А</t>
  </si>
  <si>
    <t>41 TR-101/48</t>
  </si>
  <si>
    <t>42 TR-101/48</t>
  </si>
  <si>
    <t>43 TR-101/48</t>
  </si>
  <si>
    <t>44 TR-101/48</t>
  </si>
  <si>
    <t>Температура режущего устройства Z-1</t>
  </si>
  <si>
    <t>2/3</t>
  </si>
  <si>
    <t>2/4</t>
  </si>
  <si>
    <t>2/7</t>
  </si>
  <si>
    <t>Резерв 
102-130913-ОГП-635-А</t>
  </si>
  <si>
    <t>Резерв
102-130913-ОГП-635-А</t>
  </si>
  <si>
    <t>INSERT INTO `mpt2`.`Messages` (`PlcID`, `MessageNum`, `MessageText`) VALUES ('10203', '22001', 'Станция 1');</t>
  </si>
  <si>
    <t>INSERT INTO `mpt2`.`Messages` (`PlcID`, `MessageNum`, `MessageText`) VALUES ('10203', '22002', 'Станция 1');</t>
  </si>
  <si>
    <t>INSERT INTO `mpt2`.`Messages` (`PlcID`, `MessageNum`, `MessageText`) VALUES ('10203', '22003', 'Станция 1');</t>
  </si>
  <si>
    <t>INSERT INTO `mpt2`.`Messages` (`PlcID`, `MessageNum`, `MessageText`) VALUES ('10203', '22004', 'Станция 1');</t>
  </si>
  <si>
    <t>INSERT INTO `mpt2`.`Messages` (`PlcID`, `MessageNum`, `MessageText`) VALUES ('10203', '22005', 'Станция 1');</t>
  </si>
  <si>
    <t>1 П. Ток от частотника гранулятора. РЕЗЕРВ ФОНАРЕВОЙ.</t>
  </si>
  <si>
    <t>2 П. Ток от частотника гранулятора. РЕЗЕРВ ФОНАРЕВОЙ.</t>
  </si>
  <si>
    <t>3 П. Ток от частотника гранулятора. РЕЗЕРВ ФОНАРЕВОЙ.</t>
  </si>
  <si>
    <t>Свободные слоты</t>
  </si>
  <si>
    <t>1 рэк нет</t>
  </si>
  <si>
    <t>2 рэк слоты 8-12</t>
  </si>
  <si>
    <t>2/9</t>
  </si>
  <si>
    <t>41 TRA-7</t>
  </si>
  <si>
    <t>Температура верхней зоны                  10204-003</t>
  </si>
  <si>
    <t>реактора 41 V-7                                        10604-007</t>
  </si>
  <si>
    <t xml:space="preserve">                                                                       10704-020, 10803-020, 11503-070</t>
  </si>
  <si>
    <t>12203-250</t>
  </si>
  <si>
    <t xml:space="preserve">                                                                       12003-200</t>
  </si>
  <si>
    <t xml:space="preserve">                                                                       12203-250</t>
  </si>
  <si>
    <t xml:space="preserve">                                                                       12903-003</t>
  </si>
  <si>
    <t>10704-020, 10803-020, 11503-070</t>
  </si>
  <si>
    <t>41 TRA-8</t>
  </si>
  <si>
    <t>зоны реактора 41 V-7                              10604-007</t>
  </si>
  <si>
    <t>Температура верха средней                 10204-003</t>
  </si>
  <si>
    <t>41 TRA-9</t>
  </si>
  <si>
    <t>Температура низа средней                  10204-003</t>
  </si>
  <si>
    <t>41 TRA-10</t>
  </si>
  <si>
    <t>Температура нижней зоны                   10204-003</t>
  </si>
  <si>
    <t>42 TRA-7</t>
  </si>
  <si>
    <t>42 TRA-8</t>
  </si>
  <si>
    <t>42 TRA-9</t>
  </si>
  <si>
    <t>42 TRA-10</t>
  </si>
  <si>
    <t>реактора 42 V-7                                        10604-007</t>
  </si>
  <si>
    <t>зоны реактора 42 V-7                              10604-007</t>
  </si>
  <si>
    <t>43 TRA-7</t>
  </si>
  <si>
    <t>43 TRA-8</t>
  </si>
  <si>
    <t>43 TRA-9</t>
  </si>
  <si>
    <t>43 TRA-10</t>
  </si>
  <si>
    <t>реактора 43 V-7                                        10604-007</t>
  </si>
  <si>
    <t>зоны реактора 43 V-7                              10604-007</t>
  </si>
  <si>
    <t>44 TRA-7</t>
  </si>
  <si>
    <t>44 TRA-8</t>
  </si>
  <si>
    <t>44 TRA-9</t>
  </si>
  <si>
    <t>44 TRA-10</t>
  </si>
  <si>
    <t>реактора 44 V-7                                        10604-007</t>
  </si>
  <si>
    <t>зоны реактора 44 V-7                              10604-007</t>
  </si>
  <si>
    <t xml:space="preserve">                                                               12203-250</t>
  </si>
  <si>
    <t>41 TA7-10</t>
  </si>
  <si>
    <t>42 TA7-10</t>
  </si>
  <si>
    <t>43 TA7-10</t>
  </si>
  <si>
    <t>44 TA7-10</t>
  </si>
  <si>
    <t>Групповое нарушение по 41 TRA-7…41 TRA-10 (свет)</t>
  </si>
  <si>
    <t>Групповое нарушение по 42 TRA-7…42 TRA-10 (свет)</t>
  </si>
  <si>
    <t>Групповое нарушение по 43 TRA-7…43 TRA-10 (свет)</t>
  </si>
  <si>
    <t>Групповое нарушение по 44 TRA-7…44 TRA-10 (свет)</t>
  </si>
</sst>
</file>

<file path=xl/styles.xml><?xml version="1.0" encoding="utf-8"?>
<styleSheet xmlns="http://schemas.openxmlformats.org/spreadsheetml/2006/main">
  <numFmts count="1">
    <numFmt numFmtId="164" formatCode="0.0"/>
  </numFmts>
  <fonts count="39">
    <font>
      <sz val="11"/>
      <color theme="1"/>
      <name val="Calibri"/>
      <family val="2"/>
      <charset val="204"/>
      <scheme val="minor"/>
    </font>
    <font>
      <sz val="8"/>
      <color indexed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8"/>
      <name val="Calibri"/>
      <family val="2"/>
      <charset val="204"/>
    </font>
    <font>
      <sz val="8"/>
      <color indexed="10"/>
      <name val="Calibri"/>
      <family val="2"/>
      <charset val="204"/>
    </font>
    <font>
      <sz val="8"/>
      <color indexed="17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8"/>
      <color indexed="10"/>
      <name val="Calibri"/>
      <family val="2"/>
      <charset val="204"/>
    </font>
    <font>
      <sz val="8"/>
      <color rgb="FFFF0000"/>
      <name val="Calibri"/>
      <family val="2"/>
      <charset val="204"/>
    </font>
    <font>
      <sz val="8"/>
      <color theme="6" tint="-0.249977111117893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8"/>
      <color indexed="8"/>
      <name val="Calibri"/>
      <family val="2"/>
      <charset val="204"/>
    </font>
    <font>
      <i/>
      <sz val="8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indexed="8"/>
      <name val="Calibri"/>
      <family val="2"/>
      <charset val="204"/>
      <scheme val="minor"/>
    </font>
    <font>
      <b/>
      <sz val="8"/>
      <name val="Calibri"/>
      <family val="2"/>
      <charset val="204"/>
    </font>
    <font>
      <b/>
      <sz val="11"/>
      <name val="Calibri"/>
      <family val="2"/>
      <charset val="204"/>
    </font>
    <font>
      <sz val="8"/>
      <color indexed="12"/>
      <name val="Calibri"/>
      <family val="2"/>
      <charset val="204"/>
    </font>
    <font>
      <b/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4"/>
      <color rgb="FFFF0000"/>
      <name val="Calibri"/>
      <family val="2"/>
      <charset val="204"/>
    </font>
    <font>
      <u/>
      <sz val="8"/>
      <color indexed="8"/>
      <name val="Calibri"/>
      <family val="2"/>
      <charset val="204"/>
    </font>
  </fonts>
  <fills count="3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1">
    <xf numFmtId="0" fontId="0" fillId="0" borderId="0"/>
    <xf numFmtId="0" fontId="10" fillId="0" borderId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21" borderId="0" applyNumberFormat="0" applyBorder="0" applyAlignment="0" applyProtection="0"/>
    <xf numFmtId="0" fontId="12" fillId="9" borderId="48" applyNumberFormat="0" applyAlignment="0" applyProtection="0"/>
    <xf numFmtId="0" fontId="13" fillId="22" borderId="49" applyNumberFormat="0" applyAlignment="0" applyProtection="0"/>
    <xf numFmtId="0" fontId="14" fillId="22" borderId="48" applyNumberFormat="0" applyAlignment="0" applyProtection="0"/>
    <xf numFmtId="0" fontId="15" fillId="0" borderId="50" applyNumberFormat="0" applyFill="0" applyAlignment="0" applyProtection="0"/>
    <xf numFmtId="0" fontId="16" fillId="0" borderId="51" applyNumberFormat="0" applyFill="0" applyAlignment="0" applyProtection="0"/>
    <xf numFmtId="0" fontId="17" fillId="0" borderId="52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53" applyNumberFormat="0" applyFill="0" applyAlignment="0" applyProtection="0"/>
    <xf numFmtId="0" fontId="19" fillId="23" borderId="54" applyNumberFormat="0" applyAlignment="0" applyProtection="0"/>
    <xf numFmtId="0" fontId="20" fillId="0" borderId="0" applyNumberFormat="0" applyFill="0" applyBorder="0" applyAlignment="0" applyProtection="0"/>
    <xf numFmtId="0" fontId="21" fillId="24" borderId="0" applyNumberFormat="0" applyBorder="0" applyAlignment="0" applyProtection="0"/>
    <xf numFmtId="0" fontId="22" fillId="5" borderId="0" applyNumberFormat="0" applyBorder="0" applyAlignment="0" applyProtection="0"/>
    <xf numFmtId="0" fontId="23" fillId="0" borderId="0" applyNumberFormat="0" applyFill="0" applyBorder="0" applyAlignment="0" applyProtection="0"/>
    <xf numFmtId="0" fontId="10" fillId="25" borderId="55" applyNumberFormat="0" applyFont="0" applyAlignment="0" applyProtection="0"/>
    <xf numFmtId="0" fontId="10" fillId="25" borderId="55" applyNumberFormat="0" applyFont="0" applyAlignment="0" applyProtection="0"/>
    <xf numFmtId="0" fontId="10" fillId="25" borderId="55" applyNumberFormat="0" applyFont="0" applyAlignment="0" applyProtection="0"/>
    <xf numFmtId="0" fontId="24" fillId="0" borderId="56" applyNumberFormat="0" applyFill="0" applyAlignment="0" applyProtection="0"/>
    <xf numFmtId="0" fontId="25" fillId="0" borderId="0" applyNumberFormat="0" applyFill="0" applyBorder="0" applyAlignment="0" applyProtection="0"/>
    <xf numFmtId="0" fontId="26" fillId="6" borderId="0" applyNumberFormat="0" applyBorder="0" applyAlignment="0" applyProtection="0"/>
    <xf numFmtId="0" fontId="29" fillId="0" borderId="0"/>
    <xf numFmtId="0" fontId="36" fillId="0" borderId="0"/>
  </cellStyleXfs>
  <cellXfs count="462">
    <xf numFmtId="0" fontId="0" fillId="0" borderId="0" xfId="0"/>
    <xf numFmtId="0" fontId="1" fillId="0" borderId="0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left" vertical="center" shrinkToFit="1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left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shrinkToFi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shrinkToFit="1"/>
    </xf>
    <xf numFmtId="0" fontId="1" fillId="0" borderId="6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 shrinkToFit="1"/>
    </xf>
    <xf numFmtId="0" fontId="1" fillId="0" borderId="9" xfId="0" applyNumberFormat="1" applyFont="1" applyBorder="1" applyAlignment="1">
      <alignment horizontal="left" vertical="center" wrapText="1"/>
    </xf>
    <xf numFmtId="0" fontId="1" fillId="0" borderId="9" xfId="0" applyNumberFormat="1" applyFont="1" applyBorder="1" applyAlignment="1">
      <alignment horizontal="center" vertical="center" wrapText="1"/>
    </xf>
    <xf numFmtId="0" fontId="1" fillId="0" borderId="10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1" fillId="0" borderId="12" xfId="0" applyNumberFormat="1" applyFont="1" applyBorder="1" applyAlignment="1">
      <alignment horizontal="center" vertical="center" shrinkToFi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4" xfId="0" applyNumberFormat="1" applyFont="1" applyBorder="1" applyAlignment="1">
      <alignment horizontal="center" vertical="center" wrapText="1"/>
    </xf>
    <xf numFmtId="0" fontId="1" fillId="0" borderId="15" xfId="0" applyNumberFormat="1" applyFont="1" applyBorder="1" applyAlignment="1">
      <alignment horizontal="center" vertical="center" wrapText="1"/>
    </xf>
    <xf numFmtId="0" fontId="1" fillId="0" borderId="18" xfId="0" applyNumberFormat="1" applyFont="1" applyBorder="1" applyAlignment="1">
      <alignment horizontal="center" vertical="center" wrapText="1"/>
    </xf>
    <xf numFmtId="49" fontId="1" fillId="0" borderId="19" xfId="0" applyNumberFormat="1" applyFont="1" applyBorder="1" applyAlignment="1">
      <alignment horizontal="center" vertical="center" wrapText="1"/>
    </xf>
    <xf numFmtId="49" fontId="1" fillId="0" borderId="20" xfId="0" applyNumberFormat="1" applyFont="1" applyBorder="1" applyAlignment="1">
      <alignment horizontal="center" vertical="center" wrapText="1"/>
    </xf>
    <xf numFmtId="49" fontId="1" fillId="0" borderId="21" xfId="0" applyNumberFormat="1" applyFont="1" applyBorder="1" applyAlignment="1">
      <alignment horizontal="center" vertical="center" wrapText="1"/>
    </xf>
    <xf numFmtId="49" fontId="1" fillId="0" borderId="22" xfId="0" applyNumberFormat="1" applyFont="1" applyBorder="1" applyAlignment="1">
      <alignment horizontal="center" vertical="center" wrapText="1"/>
    </xf>
    <xf numFmtId="0" fontId="1" fillId="0" borderId="2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5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26" xfId="0" applyNumberFormat="1" applyFont="1" applyBorder="1" applyAlignment="1">
      <alignment horizontal="center" vertical="center" shrinkToFit="1"/>
    </xf>
    <xf numFmtId="164" fontId="1" fillId="0" borderId="12" xfId="0" applyNumberFormat="1" applyFont="1" applyBorder="1" applyAlignment="1">
      <alignment horizontal="center" vertical="center" shrinkToFit="1"/>
    </xf>
    <xf numFmtId="164" fontId="1" fillId="0" borderId="18" xfId="0" applyNumberFormat="1" applyFont="1" applyBorder="1" applyAlignment="1">
      <alignment horizontal="center" vertical="center" shrinkToFit="1"/>
    </xf>
    <xf numFmtId="164" fontId="1" fillId="0" borderId="27" xfId="0" applyNumberFormat="1" applyFont="1" applyBorder="1" applyAlignment="1">
      <alignment horizontal="center" vertical="center" shrinkToFit="1"/>
    </xf>
    <xf numFmtId="164" fontId="1" fillId="0" borderId="15" xfId="0" applyNumberFormat="1" applyFont="1" applyBorder="1" applyAlignment="1">
      <alignment horizontal="center" vertical="center" wrapText="1"/>
    </xf>
    <xf numFmtId="164" fontId="1" fillId="0" borderId="1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4" fontId="3" fillId="0" borderId="13" xfId="0" applyNumberFormat="1" applyFont="1" applyBorder="1" applyAlignment="1">
      <alignment horizontal="center" vertical="center" wrapText="1"/>
    </xf>
    <xf numFmtId="164" fontId="1" fillId="0" borderId="12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left" vertical="center" wrapText="1"/>
    </xf>
    <xf numFmtId="164" fontId="3" fillId="0" borderId="12" xfId="0" applyNumberFormat="1" applyFont="1" applyBorder="1" applyAlignment="1">
      <alignment horizontal="center" vertical="center" shrinkToFit="1"/>
    </xf>
    <xf numFmtId="0" fontId="3" fillId="0" borderId="9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164" fontId="8" fillId="0" borderId="6" xfId="0" applyNumberFormat="1" applyFont="1" applyBorder="1" applyAlignment="1">
      <alignment horizontal="center" vertical="center" wrapText="1"/>
    </xf>
    <xf numFmtId="164" fontId="8" fillId="0" borderId="18" xfId="0" applyNumberFormat="1" applyFont="1" applyBorder="1" applyAlignment="1">
      <alignment horizontal="center" vertical="center" shrinkToFit="1"/>
    </xf>
    <xf numFmtId="0" fontId="8" fillId="0" borderId="5" xfId="0" applyNumberFormat="1" applyFont="1" applyBorder="1" applyAlignment="1">
      <alignment horizontal="center" vertical="center" wrapText="1"/>
    </xf>
    <xf numFmtId="164" fontId="8" fillId="0" borderId="14" xfId="0" applyNumberFormat="1" applyFont="1" applyBorder="1" applyAlignment="1">
      <alignment horizontal="center" vertical="center" wrapText="1"/>
    </xf>
    <xf numFmtId="0" fontId="8" fillId="0" borderId="6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3" fillId="0" borderId="9" xfId="0" applyNumberFormat="1" applyFont="1" applyBorder="1" applyAlignment="1">
      <alignment horizontal="left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13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center" vertical="center" wrapText="1"/>
    </xf>
    <xf numFmtId="2" fontId="1" fillId="0" borderId="10" xfId="0" applyNumberFormat="1" applyFont="1" applyBorder="1" applyAlignment="1">
      <alignment horizontal="center" vertical="center" wrapText="1"/>
    </xf>
    <xf numFmtId="2" fontId="1" fillId="0" borderId="15" xfId="0" applyNumberFormat="1" applyFont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left" vertical="center" wrapText="1"/>
    </xf>
    <xf numFmtId="164" fontId="1" fillId="0" borderId="18" xfId="0" applyNumberFormat="1" applyFont="1" applyBorder="1" applyAlignment="1">
      <alignment horizontal="center" vertical="center" wrapText="1"/>
    </xf>
    <xf numFmtId="2" fontId="4" fillId="0" borderId="13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0" borderId="12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left" vertical="center" wrapText="1"/>
    </xf>
    <xf numFmtId="2" fontId="4" fillId="0" borderId="16" xfId="0" applyNumberFormat="1" applyFont="1" applyBorder="1" applyAlignment="1">
      <alignment horizontal="center" vertical="center" wrapText="1"/>
    </xf>
    <xf numFmtId="0" fontId="1" fillId="0" borderId="27" xfId="0" applyNumberFormat="1" applyFont="1" applyBorder="1" applyAlignment="1">
      <alignment horizontal="center" vertical="center" wrapText="1"/>
    </xf>
    <xf numFmtId="0" fontId="1" fillId="0" borderId="26" xfId="0" applyNumberFormat="1" applyFont="1" applyBorder="1" applyAlignment="1">
      <alignment horizontal="center" vertical="center" wrapText="1"/>
    </xf>
    <xf numFmtId="2" fontId="4" fillId="0" borderId="14" xfId="0" applyNumberFormat="1" applyFont="1" applyBorder="1" applyAlignment="1">
      <alignment horizontal="center" vertical="center" wrapText="1"/>
    </xf>
    <xf numFmtId="49" fontId="1" fillId="0" borderId="34" xfId="0" applyNumberFormat="1" applyFont="1" applyBorder="1" applyAlignment="1">
      <alignment horizontal="center" vertical="center" shrinkToFit="1"/>
    </xf>
    <xf numFmtId="0" fontId="1" fillId="0" borderId="2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0" borderId="4" xfId="0" applyNumberFormat="1" applyFont="1" applyBorder="1" applyAlignment="1">
      <alignment horizontal="center" vertical="center" shrinkToFit="1"/>
    </xf>
    <xf numFmtId="164" fontId="3" fillId="0" borderId="11" xfId="0" applyNumberFormat="1" applyFont="1" applyBorder="1" applyAlignment="1">
      <alignment horizontal="center" vertical="center" wrapText="1"/>
    </xf>
    <xf numFmtId="164" fontId="3" fillId="0" borderId="26" xfId="0" applyNumberFormat="1" applyFont="1" applyBorder="1" applyAlignment="1">
      <alignment horizontal="center" vertical="center" shrinkToFit="1"/>
    </xf>
    <xf numFmtId="164" fontId="3" fillId="0" borderId="15" xfId="0" applyNumberFormat="1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3" fillId="0" borderId="12" xfId="0" applyNumberFormat="1" applyFont="1" applyBorder="1" applyAlignment="1">
      <alignment horizontal="center" vertical="center" shrinkToFit="1"/>
    </xf>
    <xf numFmtId="2" fontId="3" fillId="0" borderId="4" xfId="0" applyNumberFormat="1" applyFont="1" applyBorder="1" applyAlignment="1">
      <alignment horizontal="center" vertical="center" wrapText="1"/>
    </xf>
    <xf numFmtId="2" fontId="3" fillId="0" borderId="13" xfId="0" applyNumberFormat="1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164" fontId="3" fillId="0" borderId="18" xfId="0" applyNumberFormat="1" applyFont="1" applyBorder="1" applyAlignment="1">
      <alignment horizontal="center" vertical="center" shrinkToFit="1"/>
    </xf>
    <xf numFmtId="0" fontId="3" fillId="0" borderId="5" xfId="0" applyNumberFormat="1" applyFont="1" applyBorder="1" applyAlignment="1">
      <alignment horizontal="center" vertical="center" wrapText="1"/>
    </xf>
    <xf numFmtId="2" fontId="3" fillId="0" borderId="6" xfId="0" applyNumberFormat="1" applyFont="1" applyBorder="1" applyAlignment="1">
      <alignment horizontal="center" vertical="center" wrapText="1"/>
    </xf>
    <xf numFmtId="2" fontId="3" fillId="0" borderId="14" xfId="0" applyNumberFormat="1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164" fontId="3" fillId="0" borderId="18" xfId="0" applyNumberFormat="1" applyFont="1" applyBorder="1" applyAlignment="1">
      <alignment horizontal="center" vertical="center" wrapText="1"/>
    </xf>
    <xf numFmtId="164" fontId="3" fillId="0" borderId="10" xfId="0" applyNumberFormat="1" applyFont="1" applyBorder="1" applyAlignment="1">
      <alignment horizontal="center" vertical="center" wrapText="1"/>
    </xf>
    <xf numFmtId="0" fontId="3" fillId="0" borderId="26" xfId="0" applyNumberFormat="1" applyFont="1" applyBorder="1" applyAlignment="1">
      <alignment horizontal="center" vertical="center" wrapText="1"/>
    </xf>
    <xf numFmtId="0" fontId="3" fillId="0" borderId="13" xfId="0" applyNumberFormat="1" applyFont="1" applyBorder="1" applyAlignment="1">
      <alignment horizontal="center" vertical="center" wrapText="1"/>
    </xf>
    <xf numFmtId="164" fontId="3" fillId="0" borderId="12" xfId="0" applyNumberFormat="1" applyFont="1" applyBorder="1" applyAlignment="1">
      <alignment horizontal="center" vertical="center" wrapText="1"/>
    </xf>
    <xf numFmtId="0" fontId="3" fillId="0" borderId="12" xfId="0" applyNumberFormat="1" applyFont="1" applyBorder="1" applyAlignment="1">
      <alignment horizontal="center" vertical="center" wrapText="1"/>
    </xf>
    <xf numFmtId="2" fontId="3" fillId="0" borderId="10" xfId="0" applyNumberFormat="1" applyFont="1" applyBorder="1" applyAlignment="1">
      <alignment horizontal="center" vertical="center" wrapText="1"/>
    </xf>
    <xf numFmtId="2" fontId="3" fillId="0" borderId="15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left" vertical="center" shrinkToFit="1"/>
    </xf>
    <xf numFmtId="49" fontId="3" fillId="0" borderId="4" xfId="0" applyNumberFormat="1" applyFont="1" applyBorder="1" applyAlignment="1">
      <alignment horizontal="center" vertical="center" shrinkToFit="1"/>
    </xf>
    <xf numFmtId="49" fontId="3" fillId="0" borderId="34" xfId="0" applyNumberFormat="1" applyFont="1" applyBorder="1" applyAlignment="1">
      <alignment horizontal="center" vertical="center" shrinkToFit="1"/>
    </xf>
    <xf numFmtId="49" fontId="3" fillId="0" borderId="2" xfId="0" applyNumberFormat="1" applyFont="1" applyBorder="1" applyAlignment="1">
      <alignment horizontal="center" vertical="center" shrinkToFit="1"/>
    </xf>
    <xf numFmtId="0" fontId="3" fillId="0" borderId="18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27" xfId="0" applyNumberFormat="1" applyFont="1" applyBorder="1" applyAlignment="1">
      <alignment horizontal="center" vertical="center" shrinkToFit="1"/>
    </xf>
    <xf numFmtId="0" fontId="3" fillId="0" borderId="1" xfId="0" applyNumberFormat="1" applyFont="1" applyBorder="1" applyAlignment="1">
      <alignment horizontal="center" vertical="center" wrapText="1"/>
    </xf>
    <xf numFmtId="2" fontId="3" fillId="0" borderId="3" xfId="0" applyNumberFormat="1" applyFont="1" applyBorder="1" applyAlignment="1">
      <alignment horizontal="center" vertical="center" wrapText="1"/>
    </xf>
    <xf numFmtId="2" fontId="3" fillId="0" borderId="16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3" fillId="0" borderId="27" xfId="0" applyNumberFormat="1" applyFont="1" applyBorder="1" applyAlignment="1">
      <alignment horizontal="center" vertical="center" wrapText="1"/>
    </xf>
    <xf numFmtId="0" fontId="3" fillId="0" borderId="15" xfId="0" applyNumberFormat="1" applyFont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left" vertical="center" wrapText="1"/>
    </xf>
    <xf numFmtId="164" fontId="3" fillId="0" borderId="14" xfId="0" applyNumberFormat="1" applyFont="1" applyBorder="1" applyAlignment="1">
      <alignment horizontal="center" vertical="center" wrapText="1"/>
    </xf>
    <xf numFmtId="0" fontId="3" fillId="0" borderId="14" xfId="0" applyNumberFormat="1" applyFont="1" applyBorder="1" applyAlignment="1">
      <alignment horizontal="center" vertical="center" wrapText="1"/>
    </xf>
    <xf numFmtId="164" fontId="9" fillId="0" borderId="6" xfId="0" applyNumberFormat="1" applyFont="1" applyBorder="1" applyAlignment="1">
      <alignment horizontal="center" vertical="center" wrapText="1"/>
    </xf>
    <xf numFmtId="164" fontId="9" fillId="0" borderId="18" xfId="0" applyNumberFormat="1" applyFont="1" applyBorder="1" applyAlignment="1">
      <alignment horizontal="center" vertical="center" shrinkToFit="1"/>
    </xf>
    <xf numFmtId="0" fontId="9" fillId="0" borderId="5" xfId="0" applyNumberFormat="1" applyFont="1" applyBorder="1" applyAlignment="1">
      <alignment horizontal="center" vertical="center" wrapText="1"/>
    </xf>
    <xf numFmtId="0" fontId="9" fillId="0" borderId="6" xfId="0" applyNumberFormat="1" applyFont="1" applyBorder="1" applyAlignment="1">
      <alignment horizontal="center" vertical="center" wrapText="1"/>
    </xf>
    <xf numFmtId="49" fontId="9" fillId="0" borderId="6" xfId="0" applyNumberFormat="1" applyFont="1" applyBorder="1" applyAlignment="1">
      <alignment horizontal="center" vertical="center" wrapText="1"/>
    </xf>
    <xf numFmtId="49" fontId="9" fillId="0" borderId="21" xfId="0" applyNumberFormat="1" applyFont="1" applyBorder="1" applyAlignment="1">
      <alignment horizontal="center" vertical="center" wrapText="1"/>
    </xf>
    <xf numFmtId="0" fontId="9" fillId="0" borderId="5" xfId="0" applyNumberFormat="1" applyFont="1" applyBorder="1" applyAlignment="1">
      <alignment horizontal="center" vertical="center" shrinkToFit="1"/>
    </xf>
    <xf numFmtId="0" fontId="9" fillId="2" borderId="5" xfId="0" applyNumberFormat="1" applyFont="1" applyFill="1" applyBorder="1" applyAlignment="1">
      <alignment horizontal="left" vertical="center" wrapText="1"/>
    </xf>
    <xf numFmtId="164" fontId="9" fillId="0" borderId="14" xfId="0" applyNumberFormat="1" applyFont="1" applyBorder="1" applyAlignment="1">
      <alignment horizontal="center" vertical="center" wrapText="1"/>
    </xf>
    <xf numFmtId="0" fontId="9" fillId="0" borderId="14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shrinkToFit="1"/>
    </xf>
    <xf numFmtId="0" fontId="3" fillId="0" borderId="2" xfId="0" applyNumberFormat="1" applyFont="1" applyBorder="1" applyAlignment="1">
      <alignment horizontal="center" vertical="center" shrinkToFit="1"/>
    </xf>
    <xf numFmtId="0" fontId="3" fillId="0" borderId="5" xfId="0" applyNumberFormat="1" applyFont="1" applyBorder="1" applyAlignment="1">
      <alignment horizontal="center" vertical="center" shrinkToFit="1"/>
    </xf>
    <xf numFmtId="0" fontId="1" fillId="0" borderId="9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center" vertical="center" wrapText="1" shrinkToFit="1"/>
    </xf>
    <xf numFmtId="0" fontId="1" fillId="2" borderId="0" xfId="0" applyNumberFormat="1" applyFont="1" applyFill="1" applyBorder="1" applyAlignment="1">
      <alignment horizontal="center" vertical="center" shrinkToFit="1"/>
    </xf>
    <xf numFmtId="0" fontId="0" fillId="2" borderId="0" xfId="0" applyFill="1" applyAlignment="1">
      <alignment horizontal="center" vertical="center"/>
    </xf>
    <xf numFmtId="0" fontId="1" fillId="2" borderId="24" xfId="0" applyFont="1" applyFill="1" applyBorder="1" applyAlignment="1">
      <alignment horizontal="center" vertical="center" textRotation="90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29" xfId="0" applyFont="1" applyFill="1" applyBorder="1" applyAlignment="1">
      <alignment horizontal="center" vertical="center" textRotation="90" wrapText="1"/>
    </xf>
    <xf numFmtId="0" fontId="1" fillId="2" borderId="29" xfId="0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left" vertical="center" wrapText="1"/>
    </xf>
    <xf numFmtId="0" fontId="28" fillId="26" borderId="0" xfId="0" applyFont="1" applyFill="1" applyAlignment="1">
      <alignment horizontal="left" vertical="center"/>
    </xf>
    <xf numFmtId="0" fontId="1" fillId="26" borderId="0" xfId="0" applyFont="1" applyFill="1" applyAlignment="1">
      <alignment horizontal="left" vertical="center"/>
    </xf>
    <xf numFmtId="49" fontId="27" fillId="2" borderId="7" xfId="0" applyNumberFormat="1" applyFont="1" applyFill="1" applyBorder="1" applyAlignment="1">
      <alignment horizontal="center" vertical="center" shrinkToFit="1"/>
    </xf>
    <xf numFmtId="49" fontId="27" fillId="2" borderId="8" xfId="0" applyNumberFormat="1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3" fillId="0" borderId="2" xfId="0" applyNumberFormat="1" applyFont="1" applyFill="1" applyBorder="1" applyAlignment="1">
      <alignment horizontal="left" vertical="center" wrapText="1"/>
    </xf>
    <xf numFmtId="0" fontId="1" fillId="0" borderId="2" xfId="0" applyNumberFormat="1" applyFont="1" applyFill="1" applyBorder="1" applyAlignment="1">
      <alignment horizontal="left" vertical="center" wrapText="1"/>
    </xf>
    <xf numFmtId="0" fontId="3" fillId="0" borderId="9" xfId="0" applyNumberFormat="1" applyFont="1" applyFill="1" applyBorder="1" applyAlignment="1">
      <alignment horizontal="left" vertical="center" wrapText="1"/>
    </xf>
    <xf numFmtId="0" fontId="1" fillId="0" borderId="9" xfId="0" applyNumberFormat="1" applyFont="1" applyFill="1" applyBorder="1" applyAlignment="1">
      <alignment horizontal="left" vertical="center" wrapText="1"/>
    </xf>
    <xf numFmtId="0" fontId="1" fillId="0" borderId="5" xfId="0" applyNumberFormat="1" applyFont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horizontal="left" vertical="center" wrapText="1"/>
    </xf>
    <xf numFmtId="0" fontId="3" fillId="0" borderId="23" xfId="0" applyNumberFormat="1" applyFont="1" applyFill="1" applyBorder="1" applyAlignment="1">
      <alignment horizontal="left" vertical="center" wrapText="1"/>
    </xf>
    <xf numFmtId="0" fontId="1" fillId="27" borderId="2" xfId="0" applyNumberFormat="1" applyFont="1" applyFill="1" applyBorder="1" applyAlignment="1">
      <alignment horizontal="left" vertical="center" wrapText="1"/>
    </xf>
    <xf numFmtId="0" fontId="3" fillId="27" borderId="2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horizontal="left" vertical="center" wrapText="1"/>
    </xf>
    <xf numFmtId="0" fontId="3" fillId="2" borderId="29" xfId="0" applyFont="1" applyFill="1" applyBorder="1" applyAlignment="1">
      <alignment horizontal="center" vertical="center" textRotation="90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 shrinkToFit="1"/>
    </xf>
    <xf numFmtId="0" fontId="6" fillId="0" borderId="0" xfId="0" applyNumberFormat="1" applyFont="1" applyBorder="1" applyAlignment="1">
      <alignment horizontal="center" vertical="center" shrinkToFit="1"/>
    </xf>
    <xf numFmtId="0" fontId="30" fillId="0" borderId="0" xfId="0" applyFont="1" applyAlignment="1">
      <alignment horizontal="center" vertical="center"/>
    </xf>
    <xf numFmtId="0" fontId="31" fillId="0" borderId="0" xfId="0" applyNumberFormat="1" applyFont="1" applyFill="1" applyBorder="1" applyAlignment="1">
      <alignment horizontal="center" vertical="center" shrinkToFit="1"/>
    </xf>
    <xf numFmtId="0" fontId="3" fillId="0" borderId="0" xfId="0" applyNumberFormat="1" applyFont="1" applyFill="1" applyBorder="1" applyAlignment="1">
      <alignment horizontal="center" vertical="center" shrinkToFit="1"/>
    </xf>
    <xf numFmtId="0" fontId="32" fillId="0" borderId="0" xfId="0" applyNumberFormat="1" applyFont="1" applyFill="1" applyBorder="1" applyAlignment="1">
      <alignment horizontal="center" vertical="center" wrapText="1" shrinkToFit="1"/>
    </xf>
    <xf numFmtId="0" fontId="1" fillId="0" borderId="0" xfId="0" applyNumberFormat="1" applyFont="1" applyBorder="1" applyAlignment="1">
      <alignment horizontal="center" vertical="center" wrapText="1" shrinkToFit="1"/>
    </xf>
    <xf numFmtId="0" fontId="31" fillId="0" borderId="0" xfId="0" applyNumberFormat="1" applyFont="1" applyFill="1" applyBorder="1" applyAlignment="1">
      <alignment horizontal="center" vertical="center"/>
    </xf>
    <xf numFmtId="0" fontId="3" fillId="0" borderId="6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33" fillId="0" borderId="0" xfId="0" applyNumberFormat="1" applyFont="1" applyBorder="1" applyAlignment="1">
      <alignment horizontal="center" vertical="center"/>
    </xf>
    <xf numFmtId="0" fontId="27" fillId="0" borderId="0" xfId="0" applyNumberFormat="1" applyFont="1" applyBorder="1" applyAlignment="1">
      <alignment horizontal="center" vertical="center" shrinkToFit="1"/>
    </xf>
    <xf numFmtId="49" fontId="27" fillId="0" borderId="0" xfId="0" applyNumberFormat="1" applyFont="1" applyBorder="1" applyAlignment="1">
      <alignment horizontal="center" vertical="center" shrinkToFit="1"/>
    </xf>
    <xf numFmtId="49" fontId="1" fillId="0" borderId="63" xfId="0" applyNumberFormat="1" applyFont="1" applyBorder="1" applyAlignment="1">
      <alignment horizontal="center" vertical="center" wrapText="1" shrinkToFit="1"/>
    </xf>
    <xf numFmtId="49" fontId="1" fillId="0" borderId="43" xfId="0" applyNumberFormat="1" applyFont="1" applyBorder="1" applyAlignment="1">
      <alignment horizontal="center" vertical="center" wrapText="1" shrinkToFit="1"/>
    </xf>
    <xf numFmtId="0" fontId="34" fillId="0" borderId="0" xfId="1" applyFont="1" applyBorder="1" applyAlignment="1">
      <alignment vertical="center" wrapText="1"/>
    </xf>
    <xf numFmtId="0" fontId="3" fillId="0" borderId="65" xfId="0" applyNumberFormat="1" applyFont="1" applyFill="1" applyBorder="1" applyAlignment="1">
      <alignment horizontal="center" vertical="center"/>
    </xf>
    <xf numFmtId="0" fontId="3" fillId="0" borderId="65" xfId="0" applyNumberFormat="1" applyFont="1" applyFill="1" applyBorder="1" applyAlignment="1">
      <alignment horizontal="left" vertical="center"/>
    </xf>
    <xf numFmtId="0" fontId="3" fillId="0" borderId="11" xfId="0" applyNumberFormat="1" applyFont="1" applyFill="1" applyBorder="1" applyAlignment="1">
      <alignment horizontal="center" vertical="center"/>
    </xf>
    <xf numFmtId="0" fontId="3" fillId="0" borderId="33" xfId="0" applyNumberFormat="1" applyFont="1" applyFill="1" applyBorder="1" applyAlignment="1">
      <alignment horizontal="center" vertical="center"/>
    </xf>
    <xf numFmtId="0" fontId="3" fillId="0" borderId="65" xfId="0" applyNumberFormat="1" applyFont="1" applyFill="1" applyBorder="1" applyAlignment="1">
      <alignment horizontal="left" vertical="center" wrapText="1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left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34" xfId="0" applyNumberFormat="1" applyFont="1" applyFill="1" applyBorder="1" applyAlignment="1">
      <alignment horizontal="center" vertical="center"/>
    </xf>
    <xf numFmtId="0" fontId="3" fillId="0" borderId="23" xfId="0" applyNumberFormat="1" applyFont="1" applyFill="1" applyBorder="1" applyAlignment="1">
      <alignment horizontal="center" vertical="center"/>
    </xf>
    <xf numFmtId="0" fontId="3" fillId="0" borderId="23" xfId="0" applyNumberFormat="1" applyFont="1" applyFill="1" applyBorder="1" applyAlignment="1">
      <alignment horizontal="left" vertical="center"/>
    </xf>
    <xf numFmtId="0" fontId="3" fillId="0" borderId="58" xfId="0" applyNumberFormat="1" applyFont="1" applyFill="1" applyBorder="1" applyAlignment="1">
      <alignment horizontal="center" vertical="center"/>
    </xf>
    <xf numFmtId="0" fontId="3" fillId="0" borderId="59" xfId="0" applyNumberFormat="1" applyFont="1" applyFill="1" applyBorder="1" applyAlignment="1">
      <alignment horizontal="center" vertical="center"/>
    </xf>
    <xf numFmtId="0" fontId="33" fillId="0" borderId="0" xfId="0" applyNumberFormat="1" applyFont="1" applyBorder="1" applyAlignment="1">
      <alignment horizontal="center" vertical="center" shrinkToFit="1"/>
    </xf>
    <xf numFmtId="0" fontId="5" fillId="0" borderId="0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shrinkToFit="1"/>
    </xf>
    <xf numFmtId="0" fontId="34" fillId="0" borderId="0" xfId="69" applyFont="1"/>
    <xf numFmtId="0" fontId="34" fillId="0" borderId="0" xfId="69" applyFont="1" applyAlignment="1">
      <alignment horizontal="center"/>
    </xf>
    <xf numFmtId="0" fontId="34" fillId="0" borderId="0" xfId="69" applyFont="1" applyAlignment="1">
      <alignment vertical="center"/>
    </xf>
    <xf numFmtId="0" fontId="34" fillId="0" borderId="0" xfId="69" applyFont="1" applyBorder="1" applyAlignment="1">
      <alignment vertical="center"/>
    </xf>
    <xf numFmtId="0" fontId="35" fillId="0" borderId="0" xfId="69" applyFont="1" applyAlignment="1">
      <alignment horizontal="center"/>
    </xf>
    <xf numFmtId="0" fontId="35" fillId="0" borderId="0" xfId="69" applyFont="1" applyBorder="1" applyAlignment="1">
      <alignment horizontal="left" vertical="center"/>
    </xf>
    <xf numFmtId="0" fontId="35" fillId="0" borderId="0" xfId="69" applyFont="1"/>
    <xf numFmtId="0" fontId="35" fillId="0" borderId="0" xfId="69" applyFont="1" applyAlignment="1">
      <alignment vertical="center"/>
    </xf>
    <xf numFmtId="0" fontId="35" fillId="0" borderId="0" xfId="69" applyFont="1" applyBorder="1" applyAlignment="1">
      <alignment vertical="center"/>
    </xf>
    <xf numFmtId="0" fontId="3" fillId="28" borderId="2" xfId="0" applyNumberFormat="1" applyFont="1" applyFill="1" applyBorder="1" applyAlignment="1">
      <alignment horizontal="left" vertical="center" wrapText="1"/>
    </xf>
    <xf numFmtId="0" fontId="1" fillId="28" borderId="2" xfId="0" applyNumberFormat="1" applyFont="1" applyFill="1" applyBorder="1" applyAlignment="1">
      <alignment horizontal="left" vertical="center" wrapText="1"/>
    </xf>
    <xf numFmtId="0" fontId="1" fillId="28" borderId="5" xfId="0" applyNumberFormat="1" applyFont="1" applyFill="1" applyBorder="1" applyAlignment="1">
      <alignment horizontal="left" vertical="center" wrapText="1"/>
    </xf>
    <xf numFmtId="0" fontId="3" fillId="28" borderId="5" xfId="0" applyNumberFormat="1" applyFont="1" applyFill="1" applyBorder="1" applyAlignment="1">
      <alignment horizontal="left" vertical="center" wrapText="1"/>
    </xf>
    <xf numFmtId="0" fontId="3" fillId="29" borderId="2" xfId="0" applyNumberFormat="1" applyFont="1" applyFill="1" applyBorder="1" applyAlignment="1">
      <alignment horizontal="left" vertical="center" wrapText="1"/>
    </xf>
    <xf numFmtId="164" fontId="1" fillId="29" borderId="12" xfId="0" applyNumberFormat="1" applyFont="1" applyFill="1" applyBorder="1" applyAlignment="1">
      <alignment horizontal="center" vertical="center" shrinkToFit="1"/>
    </xf>
    <xf numFmtId="164" fontId="3" fillId="29" borderId="12" xfId="0" applyNumberFormat="1" applyFont="1" applyFill="1" applyBorder="1" applyAlignment="1">
      <alignment horizontal="center" vertical="center" shrinkToFit="1"/>
    </xf>
    <xf numFmtId="164" fontId="1" fillId="29" borderId="26" xfId="0" applyNumberFormat="1" applyFont="1" applyFill="1" applyBorder="1" applyAlignment="1">
      <alignment horizontal="center" vertical="center" shrinkToFit="1"/>
    </xf>
    <xf numFmtId="0" fontId="3" fillId="29" borderId="9" xfId="0" applyNumberFormat="1" applyFont="1" applyFill="1" applyBorder="1" applyAlignment="1">
      <alignment horizontal="left" vertical="center" wrapText="1"/>
    </xf>
    <xf numFmtId="164" fontId="3" fillId="29" borderId="26" xfId="0" applyNumberFormat="1" applyFont="1" applyFill="1" applyBorder="1" applyAlignment="1">
      <alignment horizontal="center" vertical="center" shrinkToFit="1"/>
    </xf>
    <xf numFmtId="0" fontId="1" fillId="0" borderId="0" xfId="0" applyNumberFormat="1" applyFont="1" applyFill="1" applyBorder="1" applyAlignment="1">
      <alignment horizontal="center" vertical="center" shrinkToFit="1"/>
    </xf>
    <xf numFmtId="0" fontId="1" fillId="28" borderId="1" xfId="0" applyNumberFormat="1" applyFont="1" applyFill="1" applyBorder="1" applyAlignment="1">
      <alignment horizontal="center" vertical="center"/>
    </xf>
    <xf numFmtId="0" fontId="1" fillId="28" borderId="9" xfId="0" applyNumberFormat="1" applyFont="1" applyFill="1" applyBorder="1" applyAlignment="1">
      <alignment horizontal="center" vertical="center"/>
    </xf>
    <xf numFmtId="0" fontId="3" fillId="28" borderId="1" xfId="0" applyNumberFormat="1" applyFont="1" applyFill="1" applyBorder="1" applyAlignment="1">
      <alignment horizontal="left" vertical="center" wrapText="1"/>
    </xf>
    <xf numFmtId="164" fontId="3" fillId="28" borderId="3" xfId="0" applyNumberFormat="1" applyFont="1" applyFill="1" applyBorder="1" applyAlignment="1">
      <alignment horizontal="center" vertical="center" wrapText="1"/>
    </xf>
    <xf numFmtId="164" fontId="3" fillId="28" borderId="27" xfId="0" applyNumberFormat="1" applyFont="1" applyFill="1" applyBorder="1" applyAlignment="1">
      <alignment horizontal="center" vertical="center" shrinkToFit="1"/>
    </xf>
    <xf numFmtId="0" fontId="3" fillId="28" borderId="1" xfId="0" applyNumberFormat="1" applyFont="1" applyFill="1" applyBorder="1" applyAlignment="1">
      <alignment horizontal="center" vertical="center" wrapText="1"/>
    </xf>
    <xf numFmtId="2" fontId="3" fillId="28" borderId="3" xfId="0" applyNumberFormat="1" applyFont="1" applyFill="1" applyBorder="1" applyAlignment="1">
      <alignment horizontal="center" vertical="center" wrapText="1"/>
    </xf>
    <xf numFmtId="2" fontId="3" fillId="28" borderId="16" xfId="0" applyNumberFormat="1" applyFont="1" applyFill="1" applyBorder="1" applyAlignment="1">
      <alignment horizontal="center" vertical="center" wrapText="1"/>
    </xf>
    <xf numFmtId="0" fontId="3" fillId="28" borderId="3" xfId="0" applyNumberFormat="1" applyFont="1" applyFill="1" applyBorder="1" applyAlignment="1">
      <alignment horizontal="center" vertical="center" wrapText="1"/>
    </xf>
    <xf numFmtId="0" fontId="3" fillId="28" borderId="27" xfId="0" applyNumberFormat="1" applyFont="1" applyFill="1" applyBorder="1" applyAlignment="1">
      <alignment horizontal="center" vertical="center" wrapText="1"/>
    </xf>
    <xf numFmtId="49" fontId="3" fillId="28" borderId="3" xfId="0" applyNumberFormat="1" applyFont="1" applyFill="1" applyBorder="1" applyAlignment="1">
      <alignment horizontal="center" vertical="center" wrapText="1"/>
    </xf>
    <xf numFmtId="49" fontId="3" fillId="28" borderId="22" xfId="0" applyNumberFormat="1" applyFont="1" applyFill="1" applyBorder="1" applyAlignment="1">
      <alignment horizontal="center" vertical="center" wrapText="1"/>
    </xf>
    <xf numFmtId="0" fontId="1" fillId="28" borderId="2" xfId="0" applyNumberFormat="1" applyFont="1" applyFill="1" applyBorder="1" applyAlignment="1">
      <alignment horizontal="center" vertical="center"/>
    </xf>
    <xf numFmtId="0" fontId="3" fillId="28" borderId="9" xfId="0" applyNumberFormat="1" applyFont="1" applyFill="1" applyBorder="1" applyAlignment="1">
      <alignment horizontal="left" vertical="center" wrapText="1"/>
    </xf>
    <xf numFmtId="164" fontId="3" fillId="28" borderId="10" xfId="0" applyNumberFormat="1" applyFont="1" applyFill="1" applyBorder="1" applyAlignment="1">
      <alignment horizontal="center" vertical="center" wrapText="1"/>
    </xf>
    <xf numFmtId="164" fontId="3" fillId="28" borderId="26" xfId="0" applyNumberFormat="1" applyFont="1" applyFill="1" applyBorder="1" applyAlignment="1">
      <alignment horizontal="center" vertical="center" shrinkToFit="1"/>
    </xf>
    <xf numFmtId="0" fontId="3" fillId="28" borderId="9" xfId="0" applyNumberFormat="1" applyFont="1" applyFill="1" applyBorder="1" applyAlignment="1">
      <alignment horizontal="center" vertical="center" wrapText="1"/>
    </xf>
    <xf numFmtId="2" fontId="3" fillId="28" borderId="4" xfId="0" applyNumberFormat="1" applyFont="1" applyFill="1" applyBorder="1" applyAlignment="1">
      <alignment horizontal="center" vertical="center" wrapText="1"/>
    </xf>
    <xf numFmtId="2" fontId="3" fillId="28" borderId="13" xfId="0" applyNumberFormat="1" applyFont="1" applyFill="1" applyBorder="1" applyAlignment="1">
      <alignment horizontal="center" vertical="center" wrapText="1"/>
    </xf>
    <xf numFmtId="0" fontId="3" fillId="28" borderId="4" xfId="0" applyNumberFormat="1" applyFont="1" applyFill="1" applyBorder="1" applyAlignment="1">
      <alignment horizontal="center" vertical="center" wrapText="1"/>
    </xf>
    <xf numFmtId="0" fontId="3" fillId="28" borderId="12" xfId="0" applyNumberFormat="1" applyFont="1" applyFill="1" applyBorder="1" applyAlignment="1">
      <alignment horizontal="center" vertical="center" wrapText="1"/>
    </xf>
    <xf numFmtId="49" fontId="3" fillId="28" borderId="4" xfId="0" applyNumberFormat="1" applyFont="1" applyFill="1" applyBorder="1" applyAlignment="1">
      <alignment horizontal="center" vertical="center" wrapText="1"/>
    </xf>
    <xf numFmtId="49" fontId="3" fillId="28" borderId="20" xfId="0" applyNumberFormat="1" applyFont="1" applyFill="1" applyBorder="1" applyAlignment="1">
      <alignment horizontal="center" vertical="center" wrapText="1"/>
    </xf>
    <xf numFmtId="164" fontId="3" fillId="28" borderId="4" xfId="0" applyNumberFormat="1" applyFont="1" applyFill="1" applyBorder="1" applyAlignment="1">
      <alignment horizontal="center" vertical="center" wrapText="1"/>
    </xf>
    <xf numFmtId="164" fontId="3" fillId="28" borderId="12" xfId="0" applyNumberFormat="1" applyFont="1" applyFill="1" applyBorder="1" applyAlignment="1">
      <alignment horizontal="center" vertical="center" shrinkToFit="1"/>
    </xf>
    <xf numFmtId="0" fontId="3" fillId="28" borderId="2" xfId="0" applyNumberFormat="1" applyFont="1" applyFill="1" applyBorder="1" applyAlignment="1">
      <alignment horizontal="center" vertical="center" wrapText="1"/>
    </xf>
    <xf numFmtId="2" fontId="3" fillId="28" borderId="10" xfId="0" applyNumberFormat="1" applyFont="1" applyFill="1" applyBorder="1" applyAlignment="1">
      <alignment horizontal="center" vertical="center" wrapText="1"/>
    </xf>
    <xf numFmtId="2" fontId="3" fillId="28" borderId="15" xfId="0" applyNumberFormat="1" applyFont="1" applyFill="1" applyBorder="1" applyAlignment="1">
      <alignment horizontal="center" vertical="center" wrapText="1"/>
    </xf>
    <xf numFmtId="0" fontId="3" fillId="28" borderId="10" xfId="0" applyNumberFormat="1" applyFont="1" applyFill="1" applyBorder="1" applyAlignment="1">
      <alignment horizontal="center" vertical="center" wrapText="1"/>
    </xf>
    <xf numFmtId="0" fontId="3" fillId="28" borderId="15" xfId="0" applyNumberFormat="1" applyFont="1" applyFill="1" applyBorder="1" applyAlignment="1">
      <alignment horizontal="center" vertical="center" wrapText="1"/>
    </xf>
    <xf numFmtId="0" fontId="3" fillId="28" borderId="13" xfId="0" applyNumberFormat="1" applyFont="1" applyFill="1" applyBorder="1" applyAlignment="1">
      <alignment horizontal="center" vertical="center" wrapText="1"/>
    </xf>
    <xf numFmtId="164" fontId="3" fillId="28" borderId="13" xfId="0" applyNumberFormat="1" applyFont="1" applyFill="1" applyBorder="1" applyAlignment="1">
      <alignment horizontal="center" vertical="center" wrapText="1"/>
    </xf>
    <xf numFmtId="0" fontId="1" fillId="28" borderId="5" xfId="0" applyNumberFormat="1" applyFont="1" applyFill="1" applyBorder="1" applyAlignment="1">
      <alignment horizontal="center" vertical="center"/>
    </xf>
    <xf numFmtId="0" fontId="9" fillId="28" borderId="5" xfId="0" applyNumberFormat="1" applyFont="1" applyFill="1" applyBorder="1" applyAlignment="1">
      <alignment horizontal="left" vertical="center" wrapText="1"/>
    </xf>
    <xf numFmtId="164" fontId="9" fillId="28" borderId="6" xfId="0" applyNumberFormat="1" applyFont="1" applyFill="1" applyBorder="1" applyAlignment="1">
      <alignment horizontal="center" vertical="center" wrapText="1"/>
    </xf>
    <xf numFmtId="164" fontId="9" fillId="28" borderId="18" xfId="0" applyNumberFormat="1" applyFont="1" applyFill="1" applyBorder="1" applyAlignment="1">
      <alignment horizontal="center" vertical="center" shrinkToFit="1"/>
    </xf>
    <xf numFmtId="0" fontId="9" fillId="28" borderId="5" xfId="0" applyNumberFormat="1" applyFont="1" applyFill="1" applyBorder="1" applyAlignment="1">
      <alignment horizontal="center" vertical="center" wrapText="1"/>
    </xf>
    <xf numFmtId="164" fontId="9" fillId="28" borderId="14" xfId="0" applyNumberFormat="1" applyFont="1" applyFill="1" applyBorder="1" applyAlignment="1">
      <alignment horizontal="center" vertical="center" wrapText="1"/>
    </xf>
    <xf numFmtId="0" fontId="9" fillId="28" borderId="6" xfId="0" applyNumberFormat="1" applyFont="1" applyFill="1" applyBorder="1" applyAlignment="1">
      <alignment horizontal="center" vertical="center" wrapText="1"/>
    </xf>
    <xf numFmtId="0" fontId="9" fillId="28" borderId="14" xfId="0" applyNumberFormat="1" applyFont="1" applyFill="1" applyBorder="1" applyAlignment="1">
      <alignment horizontal="center" vertical="center" wrapText="1"/>
    </xf>
    <xf numFmtId="49" fontId="9" fillId="28" borderId="6" xfId="0" applyNumberFormat="1" applyFont="1" applyFill="1" applyBorder="1" applyAlignment="1">
      <alignment horizontal="center" vertical="center" wrapText="1"/>
    </xf>
    <xf numFmtId="49" fontId="9" fillId="28" borderId="21" xfId="0" applyNumberFormat="1" applyFont="1" applyFill="1" applyBorder="1" applyAlignment="1">
      <alignment horizontal="center" vertical="center" wrapText="1"/>
    </xf>
    <xf numFmtId="0" fontId="1" fillId="28" borderId="2" xfId="0" applyFont="1" applyFill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left" vertical="center"/>
    </xf>
    <xf numFmtId="0" fontId="8" fillId="0" borderId="0" xfId="0" applyNumberFormat="1" applyFont="1" applyBorder="1" applyAlignment="1">
      <alignment horizontal="left" vertical="center"/>
    </xf>
    <xf numFmtId="0" fontId="1" fillId="30" borderId="9" xfId="0" applyNumberFormat="1" applyFont="1" applyFill="1" applyBorder="1" applyAlignment="1">
      <alignment horizontal="left" vertical="center" wrapText="1"/>
    </xf>
    <xf numFmtId="0" fontId="3" fillId="30" borderId="2" xfId="0" applyNumberFormat="1" applyFont="1" applyFill="1" applyBorder="1" applyAlignment="1">
      <alignment horizontal="left" vertical="center" wrapText="1"/>
    </xf>
    <xf numFmtId="0" fontId="1" fillId="30" borderId="2" xfId="0" applyNumberFormat="1" applyFont="1" applyFill="1" applyBorder="1" applyAlignment="1">
      <alignment horizontal="left" vertical="center" wrapText="1"/>
    </xf>
    <xf numFmtId="0" fontId="1" fillId="30" borderId="5" xfId="0" applyNumberFormat="1" applyFont="1" applyFill="1" applyBorder="1" applyAlignment="1">
      <alignment horizontal="left" vertical="center" wrapText="1"/>
    </xf>
    <xf numFmtId="0" fontId="8" fillId="0" borderId="0" xfId="0" applyNumberFormat="1" applyFont="1" applyBorder="1" applyAlignment="1">
      <alignment horizontal="left" vertical="center" shrinkToFit="1"/>
    </xf>
    <xf numFmtId="0" fontId="37" fillId="0" borderId="0" xfId="0" applyNumberFormat="1" applyFont="1" applyBorder="1" applyAlignment="1">
      <alignment horizontal="left" vertical="center" shrinkToFit="1"/>
    </xf>
    <xf numFmtId="0" fontId="1" fillId="28" borderId="0" xfId="0" applyNumberFormat="1" applyFont="1" applyFill="1" applyBorder="1" applyAlignment="1">
      <alignment horizontal="center" vertical="center" wrapText="1" shrinkToFit="1"/>
    </xf>
    <xf numFmtId="0" fontId="1" fillId="28" borderId="0" xfId="0" applyNumberFormat="1" applyFont="1" applyFill="1" applyBorder="1" applyAlignment="1">
      <alignment horizontal="center" vertical="center" shrinkToFit="1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 shrinkToFit="1"/>
    </xf>
    <xf numFmtId="0" fontId="9" fillId="0" borderId="0" xfId="0" applyNumberFormat="1" applyFont="1" applyBorder="1" applyAlignment="1">
      <alignment horizontal="center" vertical="center" shrinkToFit="1"/>
    </xf>
    <xf numFmtId="0" fontId="3" fillId="28" borderId="0" xfId="0" applyNumberFormat="1" applyFont="1" applyFill="1" applyBorder="1" applyAlignment="1">
      <alignment horizontal="center" vertical="center" wrapText="1" shrinkToFit="1"/>
    </xf>
    <xf numFmtId="0" fontId="3" fillId="28" borderId="0" xfId="0" applyNumberFormat="1" applyFont="1" applyFill="1" applyBorder="1" applyAlignment="1">
      <alignment horizontal="center" vertical="center" shrinkToFit="1"/>
    </xf>
    <xf numFmtId="164" fontId="3" fillId="0" borderId="10" xfId="0" applyNumberFormat="1" applyFont="1" applyBorder="1" applyAlignment="1">
      <alignment horizontal="center" vertical="center" wrapText="1"/>
    </xf>
    <xf numFmtId="0" fontId="3" fillId="0" borderId="57" xfId="0" applyNumberFormat="1" applyFont="1" applyBorder="1" applyAlignment="1">
      <alignment horizontal="left" vertical="center" wrapText="1"/>
    </xf>
    <xf numFmtId="164" fontId="3" fillId="0" borderId="17" xfId="0" applyNumberFormat="1" applyFont="1" applyBorder="1" applyAlignment="1">
      <alignment horizontal="center" vertical="center" wrapText="1"/>
    </xf>
    <xf numFmtId="164" fontId="3" fillId="0" borderId="40" xfId="0" applyNumberFormat="1" applyFont="1" applyBorder="1" applyAlignment="1">
      <alignment horizontal="center" vertical="center" shrinkToFit="1"/>
    </xf>
    <xf numFmtId="2" fontId="3" fillId="0" borderId="67" xfId="0" applyNumberFormat="1" applyFont="1" applyBorder="1" applyAlignment="1">
      <alignment horizontal="center" vertical="center" wrapText="1"/>
    </xf>
    <xf numFmtId="0" fontId="3" fillId="0" borderId="17" xfId="0" applyNumberFormat="1" applyFont="1" applyBorder="1" applyAlignment="1">
      <alignment horizontal="center" vertical="center" wrapText="1"/>
    </xf>
    <xf numFmtId="0" fontId="3" fillId="0" borderId="40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0" fontId="3" fillId="0" borderId="57" xfId="0" applyNumberFormat="1" applyFont="1" applyBorder="1" applyAlignment="1">
      <alignment horizontal="center" vertical="center" shrinkToFit="1"/>
    </xf>
    <xf numFmtId="0" fontId="8" fillId="28" borderId="2" xfId="0" applyNumberFormat="1" applyFont="1" applyFill="1" applyBorder="1" applyAlignment="1">
      <alignment horizontal="left" vertical="center" wrapText="1"/>
    </xf>
    <xf numFmtId="164" fontId="8" fillId="0" borderId="4" xfId="0" applyNumberFormat="1" applyFont="1" applyBorder="1" applyAlignment="1">
      <alignment horizontal="center" vertical="center" wrapText="1"/>
    </xf>
    <xf numFmtId="164" fontId="8" fillId="0" borderId="13" xfId="0" applyNumberFormat="1" applyFont="1" applyBorder="1" applyAlignment="1">
      <alignment horizontal="center" vertical="center" wrapText="1"/>
    </xf>
    <xf numFmtId="0" fontId="8" fillId="0" borderId="4" xfId="0" applyNumberFormat="1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49" fontId="8" fillId="0" borderId="20" xfId="0" applyNumberFormat="1" applyFont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center" vertical="center"/>
    </xf>
    <xf numFmtId="0" fontId="8" fillId="0" borderId="2" xfId="0" applyNumberFormat="1" applyFont="1" applyBorder="1" applyAlignment="1">
      <alignment horizontal="left" vertical="center" wrapText="1"/>
    </xf>
    <xf numFmtId="0" fontId="8" fillId="28" borderId="2" xfId="0" applyFont="1" applyFill="1" applyBorder="1" applyAlignment="1">
      <alignment horizontal="left" vertical="center" wrapText="1"/>
    </xf>
    <xf numFmtId="0" fontId="8" fillId="28" borderId="2" xfId="0" applyFont="1" applyFill="1" applyBorder="1" applyAlignment="1">
      <alignment horizontal="center" vertical="center" wrapText="1"/>
    </xf>
    <xf numFmtId="0" fontId="3" fillId="0" borderId="23" xfId="0" applyNumberFormat="1" applyFont="1" applyBorder="1" applyAlignment="1">
      <alignment horizontal="center" vertical="center" wrapText="1"/>
    </xf>
    <xf numFmtId="0" fontId="3" fillId="0" borderId="57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1" fillId="0" borderId="59" xfId="0" applyNumberFormat="1" applyFont="1" applyBorder="1" applyAlignment="1">
      <alignment horizontal="center" vertical="center"/>
    </xf>
    <xf numFmtId="0" fontId="1" fillId="0" borderId="46" xfId="0" applyNumberFormat="1" applyFont="1" applyBorder="1" applyAlignment="1">
      <alignment horizontal="center" vertical="center"/>
    </xf>
    <xf numFmtId="0" fontId="1" fillId="0" borderId="47" xfId="0" applyNumberFormat="1" applyFont="1" applyBorder="1" applyAlignment="1">
      <alignment horizontal="center" vertical="center"/>
    </xf>
    <xf numFmtId="0" fontId="1" fillId="0" borderId="23" xfId="0" applyNumberFormat="1" applyFont="1" applyBorder="1" applyAlignment="1">
      <alignment horizontal="center" vertical="center"/>
    </xf>
    <xf numFmtId="0" fontId="1" fillId="0" borderId="57" xfId="0" applyNumberFormat="1" applyFont="1" applyBorder="1" applyAlignment="1">
      <alignment horizontal="center" vertical="center"/>
    </xf>
    <xf numFmtId="0" fontId="1" fillId="0" borderId="36" xfId="0" applyNumberFormat="1" applyFont="1" applyBorder="1" applyAlignment="1">
      <alignment horizontal="center" vertical="center"/>
    </xf>
    <xf numFmtId="0" fontId="3" fillId="0" borderId="36" xfId="0" applyNumberFormat="1" applyFont="1" applyBorder="1" applyAlignment="1">
      <alignment horizontal="center" vertical="center" wrapText="1"/>
    </xf>
    <xf numFmtId="164" fontId="3" fillId="0" borderId="58" xfId="0" applyNumberFormat="1" applyFont="1" applyBorder="1" applyAlignment="1">
      <alignment horizontal="center" vertical="center" wrapText="1"/>
    </xf>
    <xf numFmtId="164" fontId="3" fillId="0" borderId="17" xfId="0" applyNumberFormat="1" applyFont="1" applyBorder="1" applyAlignment="1">
      <alignment horizontal="center" vertical="center" wrapText="1"/>
    </xf>
    <xf numFmtId="164" fontId="3" fillId="0" borderId="38" xfId="0" applyNumberFormat="1" applyFont="1" applyBorder="1" applyAlignment="1">
      <alignment horizontal="center" vertical="center" wrapText="1"/>
    </xf>
    <xf numFmtId="164" fontId="3" fillId="0" borderId="59" xfId="0" applyNumberFormat="1" applyFont="1" applyBorder="1" applyAlignment="1">
      <alignment horizontal="center" vertical="center" shrinkToFit="1"/>
    </xf>
    <xf numFmtId="164" fontId="3" fillId="0" borderId="46" xfId="0" applyNumberFormat="1" applyFont="1" applyBorder="1" applyAlignment="1">
      <alignment horizontal="center" vertical="center" shrinkToFit="1"/>
    </xf>
    <xf numFmtId="164" fontId="3" fillId="0" borderId="47" xfId="0" applyNumberFormat="1" applyFont="1" applyBorder="1" applyAlignment="1">
      <alignment horizontal="center" vertical="center" shrinkToFit="1"/>
    </xf>
    <xf numFmtId="0" fontId="1" fillId="0" borderId="69" xfId="0" applyNumberFormat="1" applyFont="1" applyBorder="1" applyAlignment="1">
      <alignment horizontal="center" vertical="center"/>
    </xf>
    <xf numFmtId="0" fontId="1" fillId="0" borderId="40" xfId="0" applyNumberFormat="1" applyFont="1" applyBorder="1" applyAlignment="1">
      <alignment horizontal="center" vertical="center"/>
    </xf>
    <xf numFmtId="0" fontId="1" fillId="0" borderId="26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 wrapText="1"/>
    </xf>
    <xf numFmtId="164" fontId="3" fillId="0" borderId="68" xfId="0" applyNumberFormat="1" applyFont="1" applyBorder="1" applyAlignment="1">
      <alignment horizontal="center" vertical="center" shrinkToFit="1"/>
    </xf>
    <xf numFmtId="0" fontId="1" fillId="28" borderId="4" xfId="0" applyNumberFormat="1" applyFont="1" applyFill="1" applyBorder="1" applyAlignment="1">
      <alignment horizontal="center" vertical="center" textRotation="90"/>
    </xf>
    <xf numFmtId="0" fontId="1" fillId="28" borderId="6" xfId="0" applyNumberFormat="1" applyFont="1" applyFill="1" applyBorder="1" applyAlignment="1">
      <alignment horizontal="center" vertical="center" textRotation="90"/>
    </xf>
    <xf numFmtId="0" fontId="1" fillId="28" borderId="34" xfId="0" quotePrefix="1" applyNumberFormat="1" applyFont="1" applyFill="1" applyBorder="1" applyAlignment="1">
      <alignment horizontal="center" vertical="center"/>
    </xf>
    <xf numFmtId="0" fontId="1" fillId="28" borderId="34" xfId="0" applyNumberFormat="1" applyFont="1" applyFill="1" applyBorder="1" applyAlignment="1">
      <alignment horizontal="center" vertical="center"/>
    </xf>
    <xf numFmtId="0" fontId="1" fillId="28" borderId="35" xfId="0" applyNumberFormat="1" applyFont="1" applyFill="1" applyBorder="1" applyAlignment="1">
      <alignment horizontal="center" vertical="center"/>
    </xf>
    <xf numFmtId="0" fontId="3" fillId="28" borderId="66" xfId="0" applyNumberFormat="1" applyFont="1" applyFill="1" applyBorder="1" applyAlignment="1">
      <alignment horizontal="center" vertical="center" wrapText="1" shrinkToFit="1"/>
    </xf>
    <xf numFmtId="0" fontId="3" fillId="28" borderId="57" xfId="0" applyNumberFormat="1" applyFont="1" applyFill="1" applyBorder="1" applyAlignment="1">
      <alignment horizontal="center" vertical="center" shrinkToFit="1"/>
    </xf>
    <xf numFmtId="0" fontId="3" fillId="28" borderId="36" xfId="0" applyNumberFormat="1" applyFont="1" applyFill="1" applyBorder="1" applyAlignment="1">
      <alignment horizontal="center" vertical="center" shrinkToFit="1"/>
    </xf>
    <xf numFmtId="0" fontId="1" fillId="0" borderId="3" xfId="0" applyNumberFormat="1" applyFont="1" applyBorder="1" applyAlignment="1">
      <alignment horizontal="center" vertical="center" textRotation="90"/>
    </xf>
    <xf numFmtId="0" fontId="1" fillId="0" borderId="4" xfId="0" applyNumberFormat="1" applyFont="1" applyBorder="1" applyAlignment="1">
      <alignment horizontal="center" vertical="center" textRotation="90"/>
    </xf>
    <xf numFmtId="0" fontId="1" fillId="0" borderId="6" xfId="0" applyNumberFormat="1" applyFont="1" applyBorder="1" applyAlignment="1">
      <alignment horizontal="center" vertical="center" textRotation="90"/>
    </xf>
    <xf numFmtId="0" fontId="1" fillId="0" borderId="27" xfId="0" applyNumberFormat="1" applyFont="1" applyBorder="1" applyAlignment="1">
      <alignment horizontal="center" vertical="center"/>
    </xf>
    <xf numFmtId="0" fontId="1" fillId="0" borderId="12" xfId="0" applyNumberFormat="1" applyFont="1" applyBorder="1" applyAlignment="1">
      <alignment horizontal="center" vertical="center"/>
    </xf>
    <xf numFmtId="0" fontId="1" fillId="0" borderId="18" xfId="0" applyNumberFormat="1" applyFont="1" applyBorder="1" applyAlignment="1">
      <alignment horizontal="center" vertical="center"/>
    </xf>
    <xf numFmtId="16" fontId="1" fillId="0" borderId="27" xfId="0" quotePrefix="1" applyNumberFormat="1" applyFont="1" applyBorder="1" applyAlignment="1">
      <alignment horizontal="center" vertical="center"/>
    </xf>
    <xf numFmtId="0" fontId="1" fillId="0" borderId="58" xfId="0" applyNumberFormat="1" applyFont="1" applyBorder="1" applyAlignment="1">
      <alignment horizontal="center" vertical="center" textRotation="90"/>
    </xf>
    <xf numFmtId="0" fontId="1" fillId="0" borderId="27" xfId="0" quotePrefix="1" applyNumberFormat="1" applyFont="1" applyBorder="1" applyAlignment="1">
      <alignment horizontal="center" vertical="center"/>
    </xf>
    <xf numFmtId="0" fontId="1" fillId="0" borderId="37" xfId="0" applyNumberFormat="1" applyFont="1" applyBorder="1" applyAlignment="1">
      <alignment horizontal="center" vertical="center" textRotation="90"/>
    </xf>
    <xf numFmtId="0" fontId="1" fillId="0" borderId="17" xfId="0" applyNumberFormat="1" applyFont="1" applyBorder="1" applyAlignment="1">
      <alignment horizontal="center" vertical="center" textRotation="90"/>
    </xf>
    <xf numFmtId="0" fontId="1" fillId="0" borderId="38" xfId="0" applyNumberFormat="1" applyFont="1" applyBorder="1" applyAlignment="1">
      <alignment horizontal="center" vertical="center" textRotation="90"/>
    </xf>
    <xf numFmtId="0" fontId="1" fillId="0" borderId="45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 shrinkToFit="1"/>
    </xf>
    <xf numFmtId="0" fontId="1" fillId="2" borderId="24" xfId="0" applyNumberFormat="1" applyFont="1" applyFill="1" applyBorder="1" applyAlignment="1">
      <alignment horizontal="center" vertical="center" shrinkToFit="1"/>
    </xf>
    <xf numFmtId="0" fontId="1" fillId="2" borderId="28" xfId="0" applyNumberFormat="1" applyFont="1" applyFill="1" applyBorder="1" applyAlignment="1">
      <alignment horizontal="center" vertical="center" shrinkToFit="1"/>
    </xf>
    <xf numFmtId="0" fontId="1" fillId="2" borderId="24" xfId="0" applyNumberFormat="1" applyFont="1" applyFill="1" applyBorder="1" applyAlignment="1">
      <alignment horizontal="center" vertical="center" textRotation="90" shrinkToFit="1"/>
    </xf>
    <xf numFmtId="0" fontId="1" fillId="2" borderId="28" xfId="0" applyNumberFormat="1" applyFont="1" applyFill="1" applyBorder="1" applyAlignment="1">
      <alignment horizontal="center" vertical="center" textRotation="90" shrinkToFit="1"/>
    </xf>
    <xf numFmtId="0" fontId="1" fillId="2" borderId="24" xfId="0" applyNumberFormat="1" applyFont="1" applyFill="1" applyBorder="1" applyAlignment="1">
      <alignment horizontal="center" vertical="center" textRotation="90" wrapText="1" shrinkToFit="1"/>
    </xf>
    <xf numFmtId="0" fontId="1" fillId="2" borderId="28" xfId="0" applyNumberFormat="1" applyFont="1" applyFill="1" applyBorder="1" applyAlignment="1">
      <alignment horizontal="center" vertical="center" textRotation="90" wrapText="1" shrinkToFit="1"/>
    </xf>
    <xf numFmtId="49" fontId="1" fillId="2" borderId="24" xfId="0" applyNumberFormat="1" applyFont="1" applyFill="1" applyBorder="1" applyAlignment="1">
      <alignment horizontal="center" vertical="center" wrapText="1" shrinkToFit="1"/>
    </xf>
    <xf numFmtId="49" fontId="1" fillId="2" borderId="28" xfId="0" applyNumberFormat="1" applyFont="1" applyFill="1" applyBorder="1" applyAlignment="1">
      <alignment horizontal="center" vertical="center" wrapText="1" shrinkToFit="1"/>
    </xf>
    <xf numFmtId="49" fontId="1" fillId="2" borderId="29" xfId="0" applyNumberFormat="1" applyFont="1" applyFill="1" applyBorder="1" applyAlignment="1">
      <alignment horizontal="center" vertical="center" wrapText="1" shrinkToFit="1"/>
    </xf>
    <xf numFmtId="49" fontId="1" fillId="2" borderId="42" xfId="0" applyNumberFormat="1" applyFont="1" applyFill="1" applyBorder="1" applyAlignment="1">
      <alignment horizontal="center" vertical="center" wrapText="1" shrinkToFit="1"/>
    </xf>
    <xf numFmtId="49" fontId="1" fillId="2" borderId="43" xfId="0" applyNumberFormat="1" applyFont="1" applyFill="1" applyBorder="1" applyAlignment="1">
      <alignment horizontal="center" vertical="center" wrapText="1" shrinkToFit="1"/>
    </xf>
    <xf numFmtId="0" fontId="1" fillId="0" borderId="23" xfId="0" applyNumberFormat="1" applyFont="1" applyBorder="1" applyAlignment="1">
      <alignment horizontal="center" vertical="center" wrapText="1"/>
    </xf>
    <xf numFmtId="0" fontId="1" fillId="0" borderId="57" xfId="0" applyNumberFormat="1" applyFont="1" applyBorder="1" applyAlignment="1">
      <alignment horizontal="center" vertical="center" wrapText="1"/>
    </xf>
    <xf numFmtId="0" fontId="1" fillId="2" borderId="24" xfId="0" applyNumberFormat="1" applyFont="1" applyFill="1" applyBorder="1" applyAlignment="1">
      <alignment horizontal="center" vertical="center" wrapText="1" shrinkToFit="1"/>
    </xf>
    <xf numFmtId="0" fontId="1" fillId="2" borderId="28" xfId="0" applyNumberFormat="1" applyFont="1" applyFill="1" applyBorder="1" applyAlignment="1">
      <alignment horizontal="center" vertical="center" wrapText="1" shrinkToFit="1"/>
    </xf>
    <xf numFmtId="0" fontId="38" fillId="0" borderId="23" xfId="0" applyNumberFormat="1" applyFont="1" applyBorder="1" applyAlignment="1">
      <alignment horizontal="center" vertical="center"/>
    </xf>
    <xf numFmtId="0" fontId="38" fillId="0" borderId="57" xfId="0" applyNumberFormat="1" applyFont="1" applyBorder="1" applyAlignment="1">
      <alignment horizontal="center" vertical="center"/>
    </xf>
    <xf numFmtId="0" fontId="3" fillId="0" borderId="23" xfId="0" applyNumberFormat="1" applyFont="1" applyFill="1" applyBorder="1" applyAlignment="1">
      <alignment horizontal="center" vertical="center" wrapText="1"/>
    </xf>
    <xf numFmtId="0" fontId="3" fillId="0" borderId="57" xfId="0" applyNumberFormat="1" applyFont="1" applyFill="1" applyBorder="1" applyAlignment="1">
      <alignment horizontal="center" vertical="center" wrapText="1"/>
    </xf>
    <xf numFmtId="164" fontId="1" fillId="0" borderId="58" xfId="0" applyNumberFormat="1" applyFont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center" wrapText="1"/>
    </xf>
    <xf numFmtId="164" fontId="1" fillId="0" borderId="59" xfId="0" applyNumberFormat="1" applyFont="1" applyBorder="1" applyAlignment="1">
      <alignment horizontal="center" vertical="center" shrinkToFit="1"/>
    </xf>
    <xf numFmtId="164" fontId="1" fillId="0" borderId="46" xfId="0" applyNumberFormat="1" applyFont="1" applyBorder="1" applyAlignment="1">
      <alignment horizontal="center" vertical="center" shrinkToFit="1"/>
    </xf>
    <xf numFmtId="0" fontId="1" fillId="28" borderId="23" xfId="0" applyNumberFormat="1" applyFont="1" applyFill="1" applyBorder="1" applyAlignment="1">
      <alignment horizontal="center" vertical="center" wrapText="1" shrinkToFit="1"/>
    </xf>
    <xf numFmtId="0" fontId="1" fillId="28" borderId="57" xfId="0" applyNumberFormat="1" applyFont="1" applyFill="1" applyBorder="1" applyAlignment="1">
      <alignment horizontal="center" vertical="center" shrinkToFit="1"/>
    </xf>
    <xf numFmtId="0" fontId="1" fillId="28" borderId="36" xfId="0" applyNumberFormat="1" applyFont="1" applyFill="1" applyBorder="1" applyAlignment="1">
      <alignment horizontal="center" vertical="center" shrinkToFit="1"/>
    </xf>
    <xf numFmtId="0" fontId="1" fillId="0" borderId="30" xfId="0" applyNumberFormat="1" applyFont="1" applyBorder="1" applyAlignment="1">
      <alignment horizontal="center" vertical="center" textRotation="90"/>
    </xf>
    <xf numFmtId="0" fontId="1" fillId="0" borderId="31" xfId="0" applyNumberFormat="1" applyFont="1" applyBorder="1" applyAlignment="1">
      <alignment horizontal="center" vertical="center" textRotation="90"/>
    </xf>
    <xf numFmtId="0" fontId="1" fillId="0" borderId="32" xfId="0" applyNumberFormat="1" applyFont="1" applyBorder="1" applyAlignment="1">
      <alignment horizontal="center" vertical="center" textRotation="90"/>
    </xf>
    <xf numFmtId="0" fontId="1" fillId="0" borderId="33" xfId="0" applyNumberFormat="1" applyFont="1" applyBorder="1" applyAlignment="1">
      <alignment horizontal="center" vertical="center"/>
    </xf>
    <xf numFmtId="0" fontId="1" fillId="0" borderId="34" xfId="0" applyNumberFormat="1" applyFont="1" applyBorder="1" applyAlignment="1">
      <alignment horizontal="center" vertical="center"/>
    </xf>
    <xf numFmtId="0" fontId="1" fillId="0" borderId="35" xfId="0" applyNumberFormat="1" applyFont="1" applyBorder="1" applyAlignment="1">
      <alignment horizontal="center" vertical="center"/>
    </xf>
    <xf numFmtId="0" fontId="3" fillId="0" borderId="66" xfId="0" applyNumberFormat="1" applyFont="1" applyBorder="1" applyAlignment="1">
      <alignment horizontal="center" vertical="center" wrapText="1"/>
    </xf>
    <xf numFmtId="164" fontId="3" fillId="0" borderId="37" xfId="0" applyNumberFormat="1" applyFont="1" applyBorder="1" applyAlignment="1">
      <alignment horizontal="center" vertical="center" wrapText="1"/>
    </xf>
    <xf numFmtId="164" fontId="3" fillId="0" borderId="45" xfId="0" applyNumberFormat="1" applyFont="1" applyBorder="1" applyAlignment="1">
      <alignment horizontal="center" vertical="center" shrinkToFit="1"/>
    </xf>
    <xf numFmtId="0" fontId="1" fillId="0" borderId="70" xfId="0" applyNumberFormat="1" applyFont="1" applyBorder="1" applyAlignment="1">
      <alignment horizontal="center" vertical="center" textRotation="90"/>
    </xf>
    <xf numFmtId="0" fontId="1" fillId="0" borderId="61" xfId="0" applyNumberFormat="1" applyFont="1" applyBorder="1" applyAlignment="1">
      <alignment horizontal="center" vertical="center" textRotation="90"/>
    </xf>
    <xf numFmtId="0" fontId="1" fillId="0" borderId="70" xfId="0" quotePrefix="1" applyNumberFormat="1" applyFont="1" applyBorder="1" applyAlignment="1">
      <alignment horizontal="center" vertical="center"/>
    </xf>
    <xf numFmtId="0" fontId="1" fillId="0" borderId="61" xfId="0" quotePrefix="1" applyNumberFormat="1" applyFont="1" applyBorder="1" applyAlignment="1">
      <alignment horizontal="center" vertical="center"/>
    </xf>
    <xf numFmtId="0" fontId="1" fillId="0" borderId="39" xfId="0" applyNumberFormat="1" applyFont="1" applyBorder="1" applyAlignment="1">
      <alignment horizontal="center" vertical="center"/>
    </xf>
    <xf numFmtId="0" fontId="1" fillId="0" borderId="66" xfId="0" applyNumberFormat="1" applyFont="1" applyBorder="1" applyAlignment="1">
      <alignment horizontal="center" vertical="center"/>
    </xf>
    <xf numFmtId="0" fontId="1" fillId="0" borderId="39" xfId="0" quotePrefix="1" applyNumberFormat="1" applyFont="1" applyBorder="1" applyAlignment="1">
      <alignment horizontal="center" vertical="center"/>
    </xf>
    <xf numFmtId="0" fontId="1" fillId="0" borderId="41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shrinkToFi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36" xfId="0" applyNumberFormat="1" applyFont="1" applyFill="1" applyBorder="1" applyAlignment="1">
      <alignment horizontal="center" vertical="center" shrinkToFit="1"/>
    </xf>
    <xf numFmtId="0" fontId="1" fillId="2" borderId="36" xfId="0" applyNumberFormat="1" applyFont="1" applyFill="1" applyBorder="1" applyAlignment="1">
      <alignment horizontal="center" vertical="center" wrapText="1" shrinkToFit="1"/>
    </xf>
    <xf numFmtId="0" fontId="1" fillId="2" borderId="42" xfId="0" applyNumberFormat="1" applyFont="1" applyFill="1" applyBorder="1" applyAlignment="1">
      <alignment horizontal="center" vertical="center" shrinkToFit="1"/>
    </xf>
    <xf numFmtId="0" fontId="1" fillId="2" borderId="43" xfId="0" applyNumberFormat="1" applyFont="1" applyFill="1" applyBorder="1" applyAlignment="1">
      <alignment horizontal="center" vertical="center" shrinkToFit="1"/>
    </xf>
    <xf numFmtId="0" fontId="1" fillId="2" borderId="44" xfId="0" applyNumberFormat="1" applyFont="1" applyFill="1" applyBorder="1" applyAlignment="1">
      <alignment horizontal="center" vertical="center" shrinkToFit="1"/>
    </xf>
    <xf numFmtId="0" fontId="1" fillId="2" borderId="41" xfId="0" applyNumberFormat="1" applyFont="1" applyFill="1" applyBorder="1" applyAlignment="1">
      <alignment horizontal="center" vertical="center" shrinkToFit="1"/>
    </xf>
    <xf numFmtId="0" fontId="1" fillId="2" borderId="36" xfId="0" applyNumberFormat="1" applyFont="1" applyFill="1" applyBorder="1" applyAlignment="1">
      <alignment horizontal="center" vertical="center" textRotation="90" shrinkToFi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27" xfId="0" quotePrefix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38" xfId="0" applyFont="1" applyBorder="1" applyAlignment="1">
      <alignment horizontal="center" vertical="center" textRotation="90" wrapText="1"/>
    </xf>
    <xf numFmtId="0" fontId="1" fillId="0" borderId="45" xfId="0" quotePrefix="1" applyFont="1" applyBorder="1" applyAlignment="1">
      <alignment horizontal="center" vertical="center" textRotation="90" wrapText="1"/>
    </xf>
    <xf numFmtId="0" fontId="1" fillId="0" borderId="46" xfId="0" applyFont="1" applyBorder="1" applyAlignment="1">
      <alignment horizontal="center" vertical="center" textRotation="90" wrapText="1"/>
    </xf>
    <xf numFmtId="0" fontId="1" fillId="0" borderId="47" xfId="0" applyFont="1" applyBorder="1" applyAlignment="1">
      <alignment horizontal="center" vertical="center" textRotation="90" wrapText="1"/>
    </xf>
    <xf numFmtId="0" fontId="1" fillId="28" borderId="23" xfId="0" applyFont="1" applyFill="1" applyBorder="1" applyAlignment="1">
      <alignment horizontal="center" vertical="center" wrapText="1"/>
    </xf>
    <xf numFmtId="0" fontId="1" fillId="28" borderId="57" xfId="0" applyFont="1" applyFill="1" applyBorder="1" applyAlignment="1">
      <alignment horizontal="center" vertical="center" wrapText="1"/>
    </xf>
    <xf numFmtId="0" fontId="1" fillId="28" borderId="9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0" borderId="60" xfId="0" quotePrefix="1" applyFont="1" applyBorder="1" applyAlignment="1">
      <alignment horizontal="center" vertical="center" textRotation="90" wrapText="1"/>
    </xf>
    <xf numFmtId="0" fontId="3" fillId="0" borderId="61" xfId="0" applyNumberFormat="1" applyFont="1" applyFill="1" applyBorder="1" applyAlignment="1">
      <alignment horizontal="center" vertical="center" textRotation="90"/>
    </xf>
    <xf numFmtId="0" fontId="3" fillId="0" borderId="64" xfId="0" applyNumberFormat="1" applyFont="1" applyFill="1" applyBorder="1" applyAlignment="1">
      <alignment horizontal="center" vertical="center" textRotation="90"/>
    </xf>
    <xf numFmtId="0" fontId="1" fillId="0" borderId="24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1" fillId="0" borderId="42" xfId="0" applyNumberFormat="1" applyFont="1" applyBorder="1" applyAlignment="1">
      <alignment horizontal="center" vertical="center" textRotation="90" wrapText="1" shrinkToFit="1"/>
    </xf>
    <xf numFmtId="0" fontId="1" fillId="0" borderId="43" xfId="0" applyNumberFormat="1" applyFont="1" applyBorder="1" applyAlignment="1">
      <alignment horizontal="center" vertical="center" textRotation="90" wrapText="1" shrinkToFit="1"/>
    </xf>
    <xf numFmtId="0" fontId="1" fillId="0" borderId="30" xfId="0" applyNumberFormat="1" applyFont="1" applyBorder="1" applyAlignment="1">
      <alignment horizontal="center" vertical="center" textRotation="90" wrapText="1" shrinkToFit="1"/>
    </xf>
    <xf numFmtId="0" fontId="1" fillId="0" borderId="26" xfId="0" applyNumberFormat="1" applyFont="1" applyBorder="1" applyAlignment="1">
      <alignment horizontal="center" vertical="center" textRotation="90" wrapText="1" shrinkToFit="1"/>
    </xf>
    <xf numFmtId="0" fontId="1" fillId="0" borderId="24" xfId="0" applyNumberFormat="1" applyFont="1" applyBorder="1" applyAlignment="1">
      <alignment horizontal="center" vertical="center" textRotation="90" wrapText="1" shrinkToFit="1"/>
    </xf>
    <xf numFmtId="0" fontId="1" fillId="0" borderId="57" xfId="0" applyNumberFormat="1" applyFont="1" applyBorder="1" applyAlignment="1">
      <alignment horizontal="center" vertical="center" textRotation="90" wrapText="1" shrinkToFit="1"/>
    </xf>
    <xf numFmtId="0" fontId="1" fillId="0" borderId="24" xfId="0" applyNumberFormat="1" applyFont="1" applyBorder="1" applyAlignment="1">
      <alignment horizontal="center" vertical="center" wrapText="1" shrinkToFit="1"/>
    </xf>
    <xf numFmtId="0" fontId="1" fillId="0" borderId="57" xfId="0" applyNumberFormat="1" applyFont="1" applyBorder="1" applyAlignment="1">
      <alignment horizontal="center" vertical="center" wrapText="1" shrinkToFit="1"/>
    </xf>
    <xf numFmtId="0" fontId="1" fillId="0" borderId="42" xfId="0" applyNumberFormat="1" applyFont="1" applyBorder="1" applyAlignment="1">
      <alignment horizontal="center" vertical="center" wrapText="1" shrinkToFit="1"/>
    </xf>
    <xf numFmtId="0" fontId="1" fillId="0" borderId="62" xfId="0" applyNumberFormat="1" applyFont="1" applyBorder="1" applyAlignment="1">
      <alignment horizontal="center" vertical="center" wrapText="1" shrinkToFit="1"/>
    </xf>
    <xf numFmtId="49" fontId="1" fillId="0" borderId="43" xfId="0" applyNumberFormat="1" applyFont="1" applyBorder="1" applyAlignment="1">
      <alignment horizontal="center" vertical="center" wrapText="1" shrinkToFit="1"/>
    </xf>
    <xf numFmtId="49" fontId="1" fillId="0" borderId="40" xfId="0" applyNumberFormat="1" applyFont="1" applyBorder="1" applyAlignment="1">
      <alignment horizontal="center" vertical="center" wrapText="1" shrinkToFit="1"/>
    </xf>
    <xf numFmtId="49" fontId="1" fillId="0" borderId="29" xfId="0" applyNumberFormat="1" applyFont="1" applyBorder="1" applyAlignment="1">
      <alignment horizontal="center" vertical="center" wrapText="1" shrinkToFit="1"/>
    </xf>
  </cellXfs>
  <cellStyles count="71">
    <cellStyle name="20% - Акцент1 2" xfId="3"/>
    <cellStyle name="20% - Акцент1 3" xfId="4"/>
    <cellStyle name="20% - Акцент1 4" xfId="2"/>
    <cellStyle name="20% - Акцент2 2" xfId="6"/>
    <cellStyle name="20% - Акцент2 3" xfId="7"/>
    <cellStyle name="20% - Акцент2 4" xfId="5"/>
    <cellStyle name="20% - Акцент3 2" xfId="9"/>
    <cellStyle name="20% - Акцент3 3" xfId="10"/>
    <cellStyle name="20% - Акцент3 4" xfId="8"/>
    <cellStyle name="20% - Акцент4 2" xfId="12"/>
    <cellStyle name="20% - Акцент4 3" xfId="13"/>
    <cellStyle name="20% - Акцент4 4" xfId="11"/>
    <cellStyle name="20% - Акцент5 2" xfId="15"/>
    <cellStyle name="20% - Акцент5 3" xfId="16"/>
    <cellStyle name="20% - Акцент5 4" xfId="14"/>
    <cellStyle name="20% - Акцент6 2" xfId="18"/>
    <cellStyle name="20% - Акцент6 3" xfId="19"/>
    <cellStyle name="20% - Акцент6 4" xfId="17"/>
    <cellStyle name="40% - Акцент1 2" xfId="21"/>
    <cellStyle name="40% - Акцент1 3" xfId="22"/>
    <cellStyle name="40% - Акцент1 4" xfId="20"/>
    <cellStyle name="40% - Акцент2 2" xfId="24"/>
    <cellStyle name="40% - Акцент2 3" xfId="25"/>
    <cellStyle name="40% - Акцент2 4" xfId="23"/>
    <cellStyle name="40% - Акцент3 2" xfId="27"/>
    <cellStyle name="40% - Акцент3 3" xfId="28"/>
    <cellStyle name="40% - Акцент3 4" xfId="26"/>
    <cellStyle name="40% - Акцент4 2" xfId="30"/>
    <cellStyle name="40% - Акцент4 3" xfId="31"/>
    <cellStyle name="40% - Акцент4 4" xfId="29"/>
    <cellStyle name="40% - Акцент5 2" xfId="33"/>
    <cellStyle name="40% - Акцент5 3" xfId="34"/>
    <cellStyle name="40% - Акцент5 4" xfId="32"/>
    <cellStyle name="40% - Акцент6 2" xfId="36"/>
    <cellStyle name="40% - Акцент6 3" xfId="37"/>
    <cellStyle name="40% - Акцент6 4" xfId="35"/>
    <cellStyle name="60% - Акцент1 2" xfId="38"/>
    <cellStyle name="60% - Акцент2 2" xfId="39"/>
    <cellStyle name="60% - Акцент3 2" xfId="40"/>
    <cellStyle name="60% - Акцент4 2" xfId="41"/>
    <cellStyle name="60% - Акцент5 2" xfId="42"/>
    <cellStyle name="60% - Акцент6 2" xfId="43"/>
    <cellStyle name="Акцент1 2" xfId="44"/>
    <cellStyle name="Акцент2 2" xfId="45"/>
    <cellStyle name="Акцент3 2" xfId="46"/>
    <cellStyle name="Акцент4 2" xfId="47"/>
    <cellStyle name="Акцент5 2" xfId="48"/>
    <cellStyle name="Акцент6 2" xfId="49"/>
    <cellStyle name="Ввод  2" xfId="50"/>
    <cellStyle name="Вывод 2" xfId="51"/>
    <cellStyle name="Вычисление 2" xfId="52"/>
    <cellStyle name="Заголовок 1 2" xfId="53"/>
    <cellStyle name="Заголовок 2 2" xfId="54"/>
    <cellStyle name="Заголовок 3 2" xfId="55"/>
    <cellStyle name="Заголовок 4 2" xfId="56"/>
    <cellStyle name="Итог 2" xfId="57"/>
    <cellStyle name="Контрольная ячейка 2" xfId="58"/>
    <cellStyle name="Название 2" xfId="59"/>
    <cellStyle name="Нейтральный 2" xfId="60"/>
    <cellStyle name="Обычный" xfId="0" builtinId="0"/>
    <cellStyle name="Обычный 2" xfId="1"/>
    <cellStyle name="Обычный 2 2" xfId="69"/>
    <cellStyle name="Обычный 3" xfId="70"/>
    <cellStyle name="Плохой 2" xfId="61"/>
    <cellStyle name="Пояснение 2" xfId="62"/>
    <cellStyle name="Примечание 2" xfId="64"/>
    <cellStyle name="Примечание 3" xfId="65"/>
    <cellStyle name="Примечание 4" xfId="63"/>
    <cellStyle name="Связанная ячейка 2" xfId="66"/>
    <cellStyle name="Текст предупреждения 2" xfId="67"/>
    <cellStyle name="Хороший 2" xfId="68"/>
  </cellStyles>
  <dxfs count="66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>
  <ddeLink xmlns:r="http://schemas.openxmlformats.org/officeDocument/2006/relationships" ddeService="RSLINX" ddeTopic="102_POLYMER">
    <ddeItems>
      <ddeItem name="AI[0].break.sgn" advise="1">
        <values>
          <value>
            <val>1</val>
          </value>
        </values>
      </ddeItem>
      <ddeItem name="AI[0].EN" advise="1">
        <values>
          <value>
            <val>1</val>
          </value>
        </values>
      </ddeItem>
      <ddeItem name="AI[0].group" advise="1">
        <values>
          <value>
            <val>1</val>
          </value>
        </values>
      </ddeItem>
      <ddeItem name="AI[0].H.EN" advise="1">
        <values>
          <value>
            <val>0</val>
          </value>
        </values>
      </ddeItem>
      <ddeItem name="AI[0].H.fix" advise="1">
        <values>
          <value>
            <val>0</val>
          </value>
        </values>
      </ddeItem>
      <ddeItem name="AI[0].H.V" advise="1">
        <values>
          <value>
            <val>0</val>
          </value>
        </values>
      </ddeItem>
      <ddeItem name="AI[0].HH.EN" advise="1">
        <values>
          <value>
            <val>0</val>
          </value>
        </values>
      </ddeItem>
      <ddeItem name="AI[0].HH.fix" advise="1">
        <values>
          <value>
            <val>0</val>
          </value>
        </values>
      </ddeItem>
      <ddeItem name="AI[0].HH.V" advise="1">
        <values>
          <value>
            <val>0</val>
          </value>
        </values>
      </ddeItem>
      <ddeItem name="AI[0].i" advise="1">
        <values>
          <value>
            <val>5.6533809999999999E-3</val>
          </value>
        </values>
      </ddeItem>
      <ddeItem name="AI[0].isCorrect" advise="1">
        <values>
          <value>
            <val>0</val>
          </value>
        </values>
      </ddeItem>
      <ddeItem name="AI[0].isCut" advise="1"/>
      <ddeItem name="AI[0].isForce" advise="1">
        <values>
          <value>
            <val>0</val>
          </value>
        </values>
      </ddeItem>
      <ddeItem name="AI[0].isInvScale" advise="1">
        <values>
          <value>
            <val>0</val>
          </value>
        </values>
      </ddeItem>
      <ddeItem name="AI[0].L.EN" advise="1">
        <values>
          <value>
            <val>0</val>
          </value>
        </values>
      </ddeItem>
      <ddeItem name="AI[0].L.fix" advise="1">
        <values>
          <value>
            <val>0</val>
          </value>
        </values>
      </ddeItem>
      <ddeItem name="AI[0].L.V" advise="1">
        <values>
          <value>
            <val>0</val>
          </value>
        </values>
      </ddeItem>
      <ddeItem name="AI[0].LL.EN" advise="1">
        <values>
          <value>
            <val>0</val>
          </value>
        </values>
      </ddeItem>
      <ddeItem name="AI[0].LL.fix" advise="1">
        <values>
          <value>
            <val>0</val>
          </value>
        </values>
      </ddeItem>
      <ddeItem name="AI[0].LL.V" advise="1">
        <values>
          <value>
            <val>0</val>
          </value>
        </values>
      </ddeItem>
      <ddeItem name="AI[0].RH.EN" advise="1">
        <values>
          <value>
            <val>1</val>
          </value>
        </values>
      </ddeItem>
      <ddeItem name="AI[0].RH.fix" advise="1">
        <values>
          <value>
            <val>0</val>
          </value>
        </values>
      </ddeItem>
      <ddeItem name="AI[0].RH.V" advise="1">
        <values>
          <value>
            <val>50</val>
          </value>
        </values>
      </ddeItem>
      <ddeItem name="AI[0].RL.EN" advise="1">
        <values>
          <value>
            <val>1</val>
          </value>
        </values>
      </ddeItem>
      <ddeItem name="AI[0].RL.fix" advise="1">
        <values>
          <value>
            <val>0</val>
          </value>
        </values>
      </ddeItem>
      <ddeItem name="AI[0].RL.V" advise="1">
        <values>
          <value>
            <val>30</val>
          </value>
        </values>
      </ddeItem>
      <ddeItem name="AI[0].state" advise="1">
        <values>
          <value>
            <val>4</val>
          </value>
        </values>
      </ddeItem>
      <ddeItem name="AI[0].v" advise="1">
        <values>
          <value>
            <val>0</val>
          </value>
        </values>
      </ddeItem>
      <ddeItem name="AI[0].vCorrect" advise="1"/>
      <ddeItem name="AI[0].vCut" advise="1"/>
      <ddeItem name="AI[0].vRaw" advise="1"/>
      <ddeItem name="AI[0].ZH" advise="1">
        <values>
          <value>
            <val>100</val>
          </value>
        </values>
      </ddeItem>
      <ddeItem name="AI[0].ZL" advise="1">
        <values>
          <value>
            <val>0</val>
          </value>
        </values>
      </ddeItem>
      <ddeItem name="AI[1].break.sgn" advise="1">
        <values>
          <value>
            <val>1</val>
          </value>
        </values>
      </ddeItem>
      <ddeItem name="AI[1].EN" advise="1">
        <values>
          <value>
            <val>1</val>
          </value>
        </values>
      </ddeItem>
      <ddeItem name="AI[1].group" advise="1">
        <values>
          <value>
            <val>1</val>
          </value>
        </values>
      </ddeItem>
      <ddeItem name="AI[1].H.EN" advise="1">
        <values>
          <value>
            <val>0</val>
          </value>
        </values>
      </ddeItem>
      <ddeItem name="AI[1].H.fix" advise="1">
        <values>
          <value>
            <val>0</val>
          </value>
        </values>
      </ddeItem>
      <ddeItem name="AI[1].H.V" advise="1">
        <values>
          <value>
            <val>0</val>
          </value>
        </values>
      </ddeItem>
      <ddeItem name="AI[1].HH.EN" advise="1">
        <values>
          <value>
            <val>0</val>
          </value>
        </values>
      </ddeItem>
      <ddeItem name="AI[1].HH.fix" advise="1">
        <values>
          <value>
            <val>0</val>
          </value>
        </values>
      </ddeItem>
      <ddeItem name="AI[1].HH.V" advise="1">
        <values>
          <value>
            <val>0</val>
          </value>
        </values>
      </ddeItem>
      <ddeItem name="AI[1].i" advise="1">
        <values>
          <value>
            <val>5.9671400000000001E-3</val>
          </value>
        </values>
      </ddeItem>
      <ddeItem name="AI[1].isCorrect" advise="1">
        <values>
          <value>
            <val>0</val>
          </value>
        </values>
      </ddeItem>
      <ddeItem name="AI[1].isCut" advise="1"/>
      <ddeItem name="AI[1].isForce" advise="1">
        <values>
          <value>
            <val>0</val>
          </value>
        </values>
      </ddeItem>
      <ddeItem name="AI[1].isInvScale" advise="1">
        <values>
          <value>
            <val>0</val>
          </value>
        </values>
      </ddeItem>
      <ddeItem name="AI[1].L.EN" advise="1">
        <values>
          <value>
            <val>0</val>
          </value>
        </values>
      </ddeItem>
      <ddeItem name="AI[1].L.fix" advise="1">
        <values>
          <value>
            <val>0</val>
          </value>
        </values>
      </ddeItem>
      <ddeItem name="AI[1].L.V" advise="1">
        <values>
          <value>
            <val>0</val>
          </value>
        </values>
      </ddeItem>
      <ddeItem name="AI[1].LL.EN" advise="1">
        <values>
          <value>
            <val>0</val>
          </value>
        </values>
      </ddeItem>
      <ddeItem name="AI[1].LL.fix" advise="1">
        <values>
          <value>
            <val>0</val>
          </value>
        </values>
      </ddeItem>
      <ddeItem name="AI[1].LL.V" advise="1">
        <values>
          <value>
            <val>0</val>
          </value>
        </values>
      </ddeItem>
      <ddeItem name="AI[1].RH.EN" advise="1">
        <values>
          <value>
            <val>1</val>
          </value>
        </values>
      </ddeItem>
      <ddeItem name="AI[1].RH.fix" advise="1">
        <values>
          <value>
            <val>0</val>
          </value>
        </values>
      </ddeItem>
      <ddeItem name="AI[1].RH.V" advise="1">
        <values>
          <value>
            <val>25</val>
          </value>
        </values>
      </ddeItem>
      <ddeItem name="AI[1].RL.EN" advise="1">
        <values>
          <value>
            <val>1</val>
          </value>
        </values>
      </ddeItem>
      <ddeItem name="AI[1].RL.fix" advise="1">
        <values>
          <value>
            <val>0</val>
          </value>
        </values>
      </ddeItem>
      <ddeItem name="AI[1].RL.V" advise="1">
        <values>
          <value>
            <val>18</val>
          </value>
        </values>
      </ddeItem>
      <ddeItem name="AI[1].state" advise="1">
        <values>
          <value>
            <val>4</val>
          </value>
        </values>
      </ddeItem>
      <ddeItem name="AI[1].v" advise="1">
        <values>
          <value>
            <val>0</val>
          </value>
        </values>
      </ddeItem>
      <ddeItem name="AI[1].vCorrect" advise="1"/>
      <ddeItem name="AI[1].vCut" advise="1"/>
      <ddeItem name="AI[1].vRaw" advise="1"/>
      <ddeItem name="AI[1].ZH" advise="1">
        <values>
          <value>
            <val>60</val>
          </value>
        </values>
      </ddeItem>
      <ddeItem name="AI[1].ZL" advise="1">
        <values>
          <value>
            <val>0</val>
          </value>
        </values>
      </ddeItem>
      <ddeItem name="AI[10].break.sgn" advise="1">
        <values>
          <value>
            <val>0</val>
          </value>
        </values>
      </ddeItem>
      <ddeItem name="AI[10].EN" advise="1">
        <values>
          <value>
            <val>0</val>
          </value>
        </values>
      </ddeItem>
      <ddeItem name="AI[10].group" advise="1">
        <values>
          <value>
            <val>1</val>
          </value>
        </values>
      </ddeItem>
      <ddeItem name="AI[10].H.EN" advise="1">
        <values>
          <value>
            <val>0</val>
          </value>
        </values>
      </ddeItem>
      <ddeItem name="AI[10].H.fix" advise="1">
        <values>
          <value>
            <val>0</val>
          </value>
        </values>
      </ddeItem>
      <ddeItem name="AI[10].H.V" advise="1">
        <values>
          <value>
            <val>0</val>
          </value>
        </values>
      </ddeItem>
      <ddeItem name="AI[10].HH.EN" advise="1">
        <values>
          <value>
            <val>0</val>
          </value>
        </values>
      </ddeItem>
      <ddeItem name="AI[10].HH.fix" advise="1">
        <values>
          <value>
            <val>0</val>
          </value>
        </values>
      </ddeItem>
      <ddeItem name="AI[10].HH.V" advise="1">
        <values>
          <value>
            <val>0</val>
          </value>
        </values>
      </ddeItem>
      <ddeItem name="AI[10].i" advise="1">
        <values>
          <value>
            <val>0</val>
          </value>
        </values>
      </ddeItem>
      <ddeItem name="AI[10].isCorrect" advise="1">
        <values>
          <value>
            <val>0</val>
          </value>
        </values>
      </ddeItem>
      <ddeItem name="AI[10].isCut" advise="1"/>
      <ddeItem name="AI[10].isForce" advise="1">
        <values>
          <value>
            <val>0</val>
          </value>
        </values>
      </ddeItem>
      <ddeItem name="AI[10].isInvScale" advise="1">
        <values>
          <value>
            <val>0</val>
          </value>
        </values>
      </ddeItem>
      <ddeItem name="AI[10].L.EN" advise="1">
        <values>
          <value>
            <val>0</val>
          </value>
        </values>
      </ddeItem>
      <ddeItem name="AI[10].L.fix" advise="1">
        <values>
          <value>
            <val>0</val>
          </value>
        </values>
      </ddeItem>
      <ddeItem name="AI[10].L.V" advise="1">
        <values>
          <value>
            <val>0</val>
          </value>
        </values>
      </ddeItem>
      <ddeItem name="AI[10].LL.EN" advise="1">
        <values>
          <value>
            <val>0</val>
          </value>
        </values>
      </ddeItem>
      <ddeItem name="AI[10].LL.fix" advise="1">
        <values>
          <value>
            <val>0</val>
          </value>
        </values>
      </ddeItem>
      <ddeItem name="AI[10].LL.V" advise="1">
        <values>
          <value>
            <val>0</val>
          </value>
        </values>
      </ddeItem>
      <ddeItem name="AI[10].RH.EN" advise="1">
        <values>
          <value>
            <val>1</val>
          </value>
        </values>
      </ddeItem>
      <ddeItem name="AI[10].RH.fix" advise="1">
        <values>
          <value>
            <val>0</val>
          </value>
        </values>
      </ddeItem>
      <ddeItem name="AI[10].RH.V" advise="1">
        <values>
          <value>
            <val>320</val>
          </value>
        </values>
      </ddeItem>
      <ddeItem name="AI[10].RL.EN" advise="1">
        <values>
          <value>
            <val>1</val>
          </value>
        </values>
      </ddeItem>
      <ddeItem name="AI[10].RL.fix" advise="1">
        <values>
          <value>
            <val>1</val>
          </value>
        </values>
      </ddeItem>
      <ddeItem name="AI[10].RL.V" advise="1">
        <values>
          <value>
            <val>32</val>
          </value>
        </values>
      </ddeItem>
      <ddeItem name="AI[10].state" advise="1">
        <values>
          <value>
            <val>4</val>
          </value>
        </values>
      </ddeItem>
      <ddeItem name="AI[10].v" advise="1">
        <values>
          <value>
            <val>0</val>
          </value>
        </values>
      </ddeItem>
      <ddeItem name="AI[10].vCorrect" advise="1"/>
      <ddeItem name="AI[10].vCut" advise="1"/>
      <ddeItem name="AI[10].vRaw" advise="1"/>
      <ddeItem name="AI[10].ZH" advise="1">
        <values>
          <value>
            <val>350</val>
          </value>
        </values>
      </ddeItem>
      <ddeItem name="AI[10].ZL" advise="1">
        <values>
          <value>
            <val>0</val>
          </value>
        </values>
      </ddeItem>
      <ddeItem name="ai[100].break.sgn" advise="1">
        <values>
          <value>
            <val>0</val>
          </value>
        </values>
      </ddeItem>
      <ddeItem name="ai[100].EN" advise="1">
        <values>
          <value>
            <val>1</val>
          </value>
        </values>
      </ddeItem>
      <ddeItem name="ai[100].group" advise="1">
        <values>
          <value>
            <val>3</val>
          </value>
        </values>
      </ddeItem>
      <ddeItem name="ai[100].H.EN" advise="1">
        <values>
          <value>
            <val>1</val>
          </value>
        </values>
      </ddeItem>
      <ddeItem name="ai[100].H.fix" advise="1">
        <values>
          <value>
            <val>0</val>
          </value>
        </values>
      </ddeItem>
      <ddeItem name="ai[100].H.V" advise="1">
        <values>
          <value>
            <val>60</val>
          </value>
        </values>
      </ddeItem>
      <ddeItem name="ai[100].HH.EN" advise="1">
        <values>
          <value>
            <val>0</val>
          </value>
        </values>
      </ddeItem>
      <ddeItem name="ai[100].HH.fix" advise="1">
        <values>
          <value>
            <val>0</val>
          </value>
        </values>
      </ddeItem>
      <ddeItem name="ai[100].HH.V" advise="1">
        <values>
          <value>
            <val>0</val>
          </value>
        </values>
      </ddeItem>
      <ddeItem name="ai[100].i" advise="1">
        <values>
          <value>
            <val>4.0090450000000004</val>
          </value>
        </values>
      </ddeItem>
      <ddeItem name="ai[100].isCorrect" advise="1">
        <values>
          <value>
            <val>0</val>
          </value>
        </values>
      </ddeItem>
      <ddeItem name="ai[100].isCut" advise="1"/>
      <ddeItem name="ai[100].isForce" advise="1">
        <values>
          <value>
            <val>0</val>
          </value>
        </values>
      </ddeItem>
      <ddeItem name="ai[100].isInvScale" advise="1">
        <values>
          <value>
            <val>0</val>
          </value>
        </values>
      </ddeItem>
      <ddeItem name="ai[100].L.EN" advise="1">
        <values>
          <value>
            <val>1</val>
          </value>
        </values>
      </ddeItem>
      <ddeItem name="ai[100].L.fix" advise="1">
        <values>
          <value>
            <val>1</val>
          </value>
        </values>
      </ddeItem>
      <ddeItem name="ai[100].L.V" advise="1">
        <values>
          <value>
            <val>10</val>
          </value>
        </values>
      </ddeItem>
      <ddeItem name="ai[100].LL.EN" advise="1">
        <values>
          <value>
            <val>0</val>
          </value>
        </values>
      </ddeItem>
      <ddeItem name="ai[100].LL.fix" advise="1">
        <values>
          <value>
            <val>0</val>
          </value>
        </values>
      </ddeItem>
      <ddeItem name="ai[100].LL.V" advise="1">
        <values>
          <value>
            <val>0</val>
          </value>
        </values>
      </ddeItem>
      <ddeItem name="ai[100].RH.EN" advise="1">
        <values>
          <value>
            <val>1</val>
          </value>
        </values>
      </ddeItem>
      <ddeItem name="ai[100].RH.fix" advise="1">
        <values>
          <value>
            <val>0</val>
          </value>
        </values>
      </ddeItem>
      <ddeItem name="ai[100].RH.V" advise="1">
        <values>
          <value>
            <val>60</val>
          </value>
        </values>
      </ddeItem>
      <ddeItem name="ai[100].RL.EN" advise="1">
        <values>
          <value>
            <val>1</val>
          </value>
        </values>
      </ddeItem>
      <ddeItem name="ai[100].RL.fix" advise="1">
        <values>
          <value>
            <val>1</val>
          </value>
        </values>
      </ddeItem>
      <ddeItem name="ai[100].RL.V" advise="1">
        <values>
          <value>
            <val>10</val>
          </value>
        </values>
      </ddeItem>
      <ddeItem name="ai[100].state" advise="1">
        <values>
          <value>
            <val>2</val>
          </value>
        </values>
      </ddeItem>
      <ddeItem name="ai[100].v" advise="1">
        <values>
          <value>
            <val>0</val>
          </value>
        </values>
      </ddeItem>
      <ddeItem name="ai[100].vCorrect" advise="1"/>
      <ddeItem name="ai[100].vCut" advise="1"/>
      <ddeItem name="ai[100].vRaw" advise="1"/>
      <ddeItem name="ai[100].ZH" advise="1">
        <values>
          <value>
            <val>100</val>
          </value>
        </values>
      </ddeItem>
      <ddeItem name="ai[100].ZL" advise="1">
        <values>
          <value>
            <val>0</val>
          </value>
        </values>
      </ddeItem>
      <ddeItem name="ai[101].break.sgn" advise="1">
        <values>
          <value>
            <val>1</val>
          </value>
        </values>
      </ddeItem>
      <ddeItem name="ai[101].EN" advise="1">
        <values>
          <value>
            <val>1</val>
          </value>
        </values>
      </ddeItem>
      <ddeItem name="ai[101].group" advise="1">
        <values>
          <value>
            <val>3</val>
          </value>
        </values>
      </ddeItem>
      <ddeItem name="ai[101].H.EN" advise="1">
        <values>
          <value>
            <val>0</val>
          </value>
        </values>
      </ddeItem>
      <ddeItem name="ai[101].H.fix" advise="1">
        <values>
          <value>
            <val>0</val>
          </value>
        </values>
      </ddeItem>
      <ddeItem name="ai[101].H.V" advise="1">
        <values>
          <value>
            <val>0</val>
          </value>
        </values>
      </ddeItem>
      <ddeItem name="ai[101].HH.EN" advise="1">
        <values>
          <value>
            <val>0</val>
          </value>
        </values>
      </ddeItem>
      <ddeItem name="ai[101].HH.fix" advise="1">
        <values>
          <value>
            <val>0</val>
          </value>
        </values>
      </ddeItem>
      <ddeItem name="ai[101].HH.V" advise="1">
        <values>
          <value>
            <val>0</val>
          </value>
        </values>
      </ddeItem>
      <ddeItem name="ai[101].i" advise="1">
        <values>
          <value>
            <val>3.1404499999999999E-3</val>
          </value>
        </values>
      </ddeItem>
      <ddeItem name="ai[101].isCorrect" advise="1">
        <values>
          <value>
            <val>0</val>
          </value>
        </values>
      </ddeItem>
      <ddeItem name="ai[101].isCut" advise="1"/>
      <ddeItem name="ai[101].isForce" advise="1">
        <values>
          <value>
            <val>0</val>
          </value>
        </values>
      </ddeItem>
      <ddeItem name="ai[101].isInvScale" advise="1">
        <values>
          <value>
            <val>0</val>
          </value>
        </values>
      </ddeItem>
      <ddeItem name="ai[101].L.EN" advise="1">
        <values>
          <value>
            <val>0</val>
          </value>
        </values>
      </ddeItem>
      <ddeItem name="ai[101].L.fix" advise="1">
        <values>
          <value>
            <val>0</val>
          </value>
        </values>
      </ddeItem>
      <ddeItem name="ai[101].L.V" advise="1">
        <values>
          <value>
            <val>0</val>
          </value>
        </values>
      </ddeItem>
      <ddeItem name="ai[101].LL.EN" advise="1">
        <values>
          <value>
            <val>0</val>
          </value>
        </values>
      </ddeItem>
      <ddeItem name="ai[101].LL.fix" advise="1">
        <values>
          <value>
            <val>0</val>
          </value>
        </values>
      </ddeItem>
      <ddeItem name="ai[101].LL.V" advise="1">
        <values>
          <value>
            <val>0</val>
          </value>
        </values>
      </ddeItem>
      <ddeItem name="ai[101].RH.EN" advise="1">
        <values>
          <value>
            <val>1</val>
          </value>
        </values>
      </ddeItem>
      <ddeItem name="ai[101].RH.fix" advise="1">
        <values>
          <value>
            <val>0</val>
          </value>
        </values>
      </ddeItem>
      <ddeItem name="ai[101].RH.V" advise="1">
        <values>
          <value>
            <val>60</val>
          </value>
        </values>
      </ddeItem>
      <ddeItem name="ai[101].RL.EN" advise="1">
        <values>
          <value>
            <val>1</val>
          </value>
        </values>
      </ddeItem>
      <ddeItem name="ai[101].RL.fix" advise="1">
        <values>
          <value>
            <val>0</val>
          </value>
        </values>
      </ddeItem>
      <ddeItem name="ai[101].RL.V" advise="1">
        <values>
          <value>
            <val>27</val>
          </value>
        </values>
      </ddeItem>
      <ddeItem name="ai[101].state" advise="1">
        <values>
          <value>
            <val>4</val>
          </value>
        </values>
      </ddeItem>
      <ddeItem name="ai[101].v" advise="1">
        <values>
          <value>
            <val>0</val>
          </value>
        </values>
      </ddeItem>
      <ddeItem name="ai[101].vCorrect" advise="1"/>
      <ddeItem name="ai[101].vCut" advise="1"/>
      <ddeItem name="ai[101].vRaw" advise="1"/>
      <ddeItem name="ai[101].ZH" advise="1">
        <values>
          <value>
            <val>75</val>
          </value>
        </values>
      </ddeItem>
      <ddeItem name="ai[101].ZL" advise="1">
        <values>
          <value>
            <val>0</val>
          </value>
        </values>
      </ddeItem>
      <ddeItem name="ai[102].break.sgn" advise="1">
        <values>
          <value>
            <val>1</val>
          </value>
        </values>
      </ddeItem>
      <ddeItem name="ai[102].EN" advise="1">
        <values>
          <value>
            <val>1</val>
          </value>
        </values>
      </ddeItem>
      <ddeItem name="ai[102].group" advise="1">
        <values>
          <value>
            <val>3</val>
          </value>
        </values>
      </ddeItem>
      <ddeItem name="ai[102].H.EN" advise="1">
        <values>
          <value>
            <val>0</val>
          </value>
        </values>
      </ddeItem>
      <ddeItem name="ai[102].H.fix" advise="1">
        <values>
          <value>
            <val>0</val>
          </value>
        </values>
      </ddeItem>
      <ddeItem name="ai[102].H.V" advise="1">
        <values>
          <value>
            <val>0</val>
          </value>
        </values>
      </ddeItem>
      <ddeItem name="ai[102].HH.EN" advise="1">
        <values>
          <value>
            <val>0</val>
          </value>
        </values>
      </ddeItem>
      <ddeItem name="ai[102].HH.fix" advise="1">
        <values>
          <value>
            <val>0</val>
          </value>
        </values>
      </ddeItem>
      <ddeItem name="ai[102].HH.V" advise="1">
        <values>
          <value>
            <val>0</val>
          </value>
        </values>
      </ddeItem>
      <ddeItem name="ai[102].i" advise="1">
        <values>
          <value>
            <val>3.1404499999999999E-3</val>
          </value>
        </values>
      </ddeItem>
      <ddeItem name="ai[102].isCorrect" advise="1">
        <values>
          <value>
            <val>0</val>
          </value>
        </values>
      </ddeItem>
      <ddeItem name="ai[102].isCut" advise="1"/>
      <ddeItem name="ai[102].isForce" advise="1">
        <values>
          <value>
            <val>0</val>
          </value>
        </values>
      </ddeItem>
      <ddeItem name="ai[102].isInvScale" advise="1">
        <values>
          <value>
            <val>0</val>
          </value>
        </values>
      </ddeItem>
      <ddeItem name="ai[102].L.EN" advise="1">
        <values>
          <value>
            <val>0</val>
          </value>
        </values>
      </ddeItem>
      <ddeItem name="ai[102].L.fix" advise="1">
        <values>
          <value>
            <val>0</val>
          </value>
        </values>
      </ddeItem>
      <ddeItem name="ai[102].L.V" advise="1">
        <values>
          <value>
            <val>0</val>
          </value>
        </values>
      </ddeItem>
      <ddeItem name="ai[102].LL.EN" advise="1">
        <values>
          <value>
            <val>0</val>
          </value>
        </values>
      </ddeItem>
      <ddeItem name="ai[102].LL.fix" advise="1">
        <values>
          <value>
            <val>0</val>
          </value>
        </values>
      </ddeItem>
      <ddeItem name="ai[102].LL.V" advise="1">
        <values>
          <value>
            <val>0</val>
          </value>
        </values>
      </ddeItem>
      <ddeItem name="ai[102].RH.EN" advise="1">
        <values>
          <value>
            <val>1</val>
          </value>
        </values>
      </ddeItem>
      <ddeItem name="ai[102].RH.fix" advise="1">
        <values>
          <value>
            <val>0</val>
          </value>
        </values>
      </ddeItem>
      <ddeItem name="ai[102].RH.V" advise="1">
        <values>
          <value>
            <val>1630</val>
          </value>
        </values>
      </ddeItem>
      <ddeItem name="ai[102].RL.EN" advise="1">
        <values>
          <value>
            <val>1</val>
          </value>
        </values>
      </ddeItem>
      <ddeItem name="ai[102].RL.fix" advise="1">
        <values>
          <value>
            <val>0</val>
          </value>
        </values>
      </ddeItem>
      <ddeItem name="ai[102].RL.V" advise="1">
        <values>
          <value>
            <val>0</val>
          </value>
        </values>
      </ddeItem>
      <ddeItem name="ai[102].state" advise="1">
        <values>
          <value>
            <val>4</val>
          </value>
        </values>
      </ddeItem>
      <ddeItem name="ai[102].v" advise="1">
        <values>
          <value>
            <val>0</val>
          </value>
        </values>
      </ddeItem>
      <ddeItem name="ai[102].vCorrect" advise="1"/>
      <ddeItem name="ai[102].vCut" advise="1"/>
      <ddeItem name="ai[102].vRaw" advise="1"/>
      <ddeItem name="ai[102].ZH" advise="1">
        <values>
          <value>
            <val>2000</val>
          </value>
        </values>
      </ddeItem>
      <ddeItem name="ai[102].ZL" advise="1">
        <values>
          <value>
            <val>0</val>
          </value>
        </values>
      </ddeItem>
      <ddeItem name="ai[103].break.sgn" advise="1">
        <values>
          <value>
            <val>1</val>
          </value>
        </values>
      </ddeItem>
      <ddeItem name="ai[103].EN" advise="1">
        <values>
          <value>
            <val>1</val>
          </value>
        </values>
      </ddeItem>
      <ddeItem name="ai[103].group" advise="1">
        <values>
          <value>
            <val>3</val>
          </value>
        </values>
      </ddeItem>
      <ddeItem name="ai[103].H.EN" advise="1">
        <values>
          <value>
            <val>1</val>
          </value>
        </values>
      </ddeItem>
      <ddeItem name="ai[103].H.fix" advise="1">
        <values>
          <value>
            <val>0</val>
          </value>
        </values>
      </ddeItem>
      <ddeItem name="ai[103].H.V" advise="1">
        <values>
          <value>
            <val>170</val>
          </value>
        </values>
      </ddeItem>
      <ddeItem name="ai[103].HH.EN" advise="1">
        <values>
          <value>
            <val>1</val>
          </value>
        </values>
      </ddeItem>
      <ddeItem name="ai[103].HH.fix" advise="1">
        <values>
          <value>
            <val>0</val>
          </value>
        </values>
      </ddeItem>
      <ddeItem name="ai[103].HH.V" advise="1">
        <values>
          <value>
            <val>240</val>
          </value>
        </values>
      </ddeItem>
      <ddeItem name="ai[103].i" advise="1">
        <values>
          <value>
            <val>3.1404499999999999E-3</val>
          </value>
        </values>
      </ddeItem>
      <ddeItem name="ai[103].isCorrect" advise="1">
        <values>
          <value>
            <val>0</val>
          </value>
        </values>
      </ddeItem>
      <ddeItem name="ai[103].isCut" advise="1"/>
      <ddeItem name="ai[103].isForce" advise="1">
        <values>
          <value>
            <val>0</val>
          </value>
        </values>
      </ddeItem>
      <ddeItem name="ai[103].isInvScale" advise="1">
        <values>
          <value>
            <val>0</val>
          </value>
        </values>
      </ddeItem>
      <ddeItem name="ai[103].L.EN" advise="1">
        <values>
          <value>
            <val>0</val>
          </value>
        </values>
      </ddeItem>
      <ddeItem name="ai[103].L.fix" advise="1">
        <values>
          <value>
            <val>0</val>
          </value>
        </values>
      </ddeItem>
      <ddeItem name="ai[103].L.V" advise="1">
        <values>
          <value>
            <val>0</val>
          </value>
        </values>
      </ddeItem>
      <ddeItem name="ai[103].LL.EN" advise="1">
        <values>
          <value>
            <val>0</val>
          </value>
        </values>
      </ddeItem>
      <ddeItem name="ai[103].LL.fix" advise="1">
        <values>
          <value>
            <val>0</val>
          </value>
        </values>
      </ddeItem>
      <ddeItem name="ai[103].LL.V" advise="1">
        <values>
          <value>
            <val>0</val>
          </value>
        </values>
      </ddeItem>
      <ddeItem name="ai[103].RH.EN" advise="1">
        <values>
          <value>
            <val>1</val>
          </value>
        </values>
      </ddeItem>
      <ddeItem name="ai[103].RH.fix" advise="1">
        <values>
          <value>
            <val>0</val>
          </value>
        </values>
      </ddeItem>
      <ddeItem name="ai[103].RH.V" advise="1">
        <values>
          <value>
            <val>240</val>
          </value>
        </values>
      </ddeItem>
      <ddeItem name="ai[103].RL.EN" advise="1">
        <values>
          <value>
            <val>1</val>
          </value>
        </values>
      </ddeItem>
      <ddeItem name="ai[103].RL.fix" advise="1">
        <values>
          <value>
            <val>0</val>
          </value>
        </values>
      </ddeItem>
      <ddeItem name="ai[103].RL.V" advise="1">
        <values>
          <value>
            <val>0</val>
          </value>
        </values>
      </ddeItem>
      <ddeItem name="ai[103].state" advise="1">
        <values>
          <value>
            <val>4</val>
          </value>
        </values>
      </ddeItem>
      <ddeItem name="ai[103].v" advise="1">
        <values>
          <value>
            <val>0</val>
          </value>
        </values>
      </ddeItem>
      <ddeItem name="ai[103].vCorrect" advise="1"/>
      <ddeItem name="ai[103].vCut" advise="1"/>
      <ddeItem name="ai[103].vRaw" advise="1"/>
      <ddeItem name="ai[103].ZH" advise="1">
        <values>
          <value>
            <val>300</val>
          </value>
        </values>
      </ddeItem>
      <ddeItem name="ai[103].ZL" advise="1">
        <values>
          <value>
            <val>0</val>
          </value>
        </values>
      </ddeItem>
      <ddeItem name="ai[104].break.sgn" advise="1">
        <values>
          <value>
            <val>1</val>
          </value>
        </values>
      </ddeItem>
      <ddeItem name="ai[104].EN" advise="1">
        <values>
          <value>
            <val>1</val>
          </value>
        </values>
      </ddeItem>
      <ddeItem name="ai[104].group" advise="1">
        <values>
          <value>
            <val>3</val>
          </value>
        </values>
      </ddeItem>
      <ddeItem name="ai[104].H.EN" advise="1">
        <values>
          <value>
            <val>0</val>
          </value>
        </values>
      </ddeItem>
      <ddeItem name="ai[104].H.fix" advise="1">
        <values>
          <value>
            <val>0</val>
          </value>
        </values>
      </ddeItem>
      <ddeItem name="ai[104].H.V" advise="1">
        <values>
          <value>
            <val>0</val>
          </value>
        </values>
      </ddeItem>
      <ddeItem name="ai[104].HH.EN" advise="1">
        <values>
          <value>
            <val>0</val>
          </value>
        </values>
      </ddeItem>
      <ddeItem name="ai[104].HH.fix" advise="1">
        <values>
          <value>
            <val>0</val>
          </value>
        </values>
      </ddeItem>
      <ddeItem name="ai[104].HH.V" advise="1">
        <values>
          <value>
            <val>0</val>
          </value>
        </values>
      </ddeItem>
      <ddeItem name="ai[104].i" advise="1">
        <values>
          <value>
            <val>2.198219E-3</val>
          </value>
        </values>
      </ddeItem>
      <ddeItem name="ai[104].isCorrect" advise="1">
        <values>
          <value>
            <val>0</val>
          </value>
        </values>
      </ddeItem>
      <ddeItem name="ai[104].isCut" advise="1"/>
      <ddeItem name="ai[104].isForce" advise="1">
        <values>
          <value>
            <val>0</val>
          </value>
        </values>
      </ddeItem>
      <ddeItem name="ai[104].isInvScale" advise="1">
        <values>
          <value>
            <val>0</val>
          </value>
        </values>
      </ddeItem>
      <ddeItem name="ai[104].L.EN" advise="1">
        <values>
          <value>
            <val>0</val>
          </value>
        </values>
      </ddeItem>
      <ddeItem name="ai[104].L.fix" advise="1">
        <values>
          <value>
            <val>0</val>
          </value>
        </values>
      </ddeItem>
      <ddeItem name="ai[104].L.V" advise="1">
        <values>
          <value>
            <val>0</val>
          </value>
        </values>
      </ddeItem>
      <ddeItem name="ai[104].LL.EN" advise="1">
        <values>
          <value>
            <val>0</val>
          </value>
        </values>
      </ddeItem>
      <ddeItem name="ai[104].LL.fix" advise="1">
        <values>
          <value>
            <val>0</val>
          </value>
        </values>
      </ddeItem>
      <ddeItem name="ai[104].LL.V" advise="1">
        <values>
          <value>
            <val>0</val>
          </value>
        </values>
      </ddeItem>
      <ddeItem name="ai[104].RH.EN" advise="1">
        <values>
          <value>
            <val>1</val>
          </value>
        </values>
      </ddeItem>
      <ddeItem name="ai[104].RH.fix" advise="1">
        <values>
          <value>
            <val>0</val>
          </value>
        </values>
      </ddeItem>
      <ddeItem name="ai[104].RH.V" advise="1">
        <values>
          <value>
            <val>280</val>
          </value>
        </values>
      </ddeItem>
      <ddeItem name="ai[104].RL.EN" advise="1">
        <values>
          <value>
            <val>1</val>
          </value>
        </values>
      </ddeItem>
      <ddeItem name="ai[104].RL.fix" advise="1">
        <values>
          <value>
            <val>0</val>
          </value>
        </values>
      </ddeItem>
      <ddeItem name="ai[104].RL.V" advise="1">
        <values>
          <value>
            <val>130</val>
          </value>
        </values>
      </ddeItem>
      <ddeItem name="ai[104].state" advise="1">
        <values>
          <value>
            <val>4</val>
          </value>
        </values>
      </ddeItem>
      <ddeItem name="ai[104].v" advise="1">
        <values>
          <value>
            <val>0</val>
          </value>
        </values>
      </ddeItem>
      <ddeItem name="ai[104].vCorrect" advise="1"/>
      <ddeItem name="ai[104].vCut" advise="1"/>
      <ddeItem name="ai[104].vRaw" advise="1"/>
      <ddeItem name="ai[104].ZH" advise="1">
        <values>
          <value>
            <val>300</val>
          </value>
        </values>
      </ddeItem>
      <ddeItem name="ai[104].ZL" advise="1">
        <values>
          <value>
            <val>0</val>
          </value>
        </values>
      </ddeItem>
      <ddeItem name="ai[105].break.sgn" advise="1">
        <values>
          <value>
            <val>1</val>
          </value>
        </values>
      </ddeItem>
      <ddeItem name="ai[105].EN" advise="1">
        <values>
          <value>
            <val>1</val>
          </value>
        </values>
      </ddeItem>
      <ddeItem name="ai[105].group" advise="1">
        <values>
          <value>
            <val>3</val>
          </value>
        </values>
      </ddeItem>
      <ddeItem name="ai[105].H.EN" advise="1">
        <values>
          <value>
            <val>1</val>
          </value>
        </values>
      </ddeItem>
      <ddeItem name="ai[105].H.fix" advise="1">
        <values>
          <value>
            <val>0</val>
          </value>
        </values>
      </ddeItem>
      <ddeItem name="ai[105].H.V" advise="1">
        <values>
          <value>
            <val>156</val>
          </value>
        </values>
      </ddeItem>
      <ddeItem name="ai[105].HH.EN" advise="1">
        <values>
          <value>
            <val>0</val>
          </value>
        </values>
      </ddeItem>
      <ddeItem name="ai[105].HH.fix" advise="1">
        <values>
          <value>
            <val>0</val>
          </value>
        </values>
      </ddeItem>
      <ddeItem name="ai[105].HH.V" advise="1">
        <values>
          <value>
            <val>0</val>
          </value>
        </values>
      </ddeItem>
      <ddeItem name="ai[105].i" advise="1">
        <values>
          <value>
            <val>2.198219E-3</val>
          </value>
        </values>
      </ddeItem>
      <ddeItem name="ai[105].isCorrect" advise="1">
        <values>
          <value>
            <val>0</val>
          </value>
        </values>
      </ddeItem>
      <ddeItem name="ai[105].isCut" advise="1"/>
      <ddeItem name="ai[105].isForce" advise="1">
        <values>
          <value>
            <val>0</val>
          </value>
        </values>
      </ddeItem>
      <ddeItem name="ai[105].isInvScale" advise="1">
        <values>
          <value>
            <val>0</val>
          </value>
        </values>
      </ddeItem>
      <ddeItem name="ai[105].L.EN" advise="1">
        <values>
          <value>
            <val>0</val>
          </value>
        </values>
      </ddeItem>
      <ddeItem name="ai[105].L.fix" advise="1">
        <values>
          <value>
            <val>0</val>
          </value>
        </values>
      </ddeItem>
      <ddeItem name="ai[105].L.V" advise="1">
        <values>
          <value>
            <val>0</val>
          </value>
        </values>
      </ddeItem>
      <ddeItem name="ai[105].LL.EN" advise="1">
        <values>
          <value>
            <val>0</val>
          </value>
        </values>
      </ddeItem>
      <ddeItem name="ai[105].LL.fix" advise="1">
        <values>
          <value>
            <val>0</val>
          </value>
        </values>
      </ddeItem>
      <ddeItem name="ai[105].LL.V" advise="1">
        <values>
          <value>
            <val>0</val>
          </value>
        </values>
      </ddeItem>
      <ddeItem name="ai[105].RH.EN" advise="1">
        <values>
          <value>
            <val>1</val>
          </value>
        </values>
      </ddeItem>
      <ddeItem name="ai[105].RH.fix" advise="1">
        <values>
          <value>
            <val>0</val>
          </value>
        </values>
      </ddeItem>
      <ddeItem name="ai[105].RH.V" advise="1">
        <values>
          <value>
            <val>155</val>
          </value>
        </values>
      </ddeItem>
      <ddeItem name="ai[105].RL.EN" advise="1">
        <values>
          <value>
            <val>1</val>
          </value>
        </values>
      </ddeItem>
      <ddeItem name="ai[105].RL.fix" advise="1">
        <values>
          <value>
            <val>0</val>
          </value>
        </values>
      </ddeItem>
      <ddeItem name="ai[105].RL.V" advise="1">
        <values>
          <value>
            <val>115</val>
          </value>
        </values>
      </ddeItem>
      <ddeItem name="ai[105].state" advise="1">
        <values>
          <value>
            <val>4</val>
          </value>
        </values>
      </ddeItem>
      <ddeItem name="ai[105].v" advise="1">
        <values>
          <value>
            <val>0</val>
          </value>
        </values>
      </ddeItem>
      <ddeItem name="ai[105].vCorrect" advise="1"/>
      <ddeItem name="ai[105].vCut" advise="1"/>
      <ddeItem name="ai[105].vRaw" advise="1"/>
      <ddeItem name="ai[105].ZH" advise="1">
        <values>
          <value>
            <val>200</val>
          </value>
        </values>
      </ddeItem>
      <ddeItem name="ai[105].ZL" advise="1">
        <values>
          <value>
            <val>0</val>
          </value>
        </values>
      </ddeItem>
      <ddeItem name="ai[106].break.sgn" advise="1">
        <values>
          <value>
            <val>0</val>
          </value>
        </values>
      </ddeItem>
      <ddeItem name="ai[106].EN" advise="1">
        <values>
          <value>
            <val>0</val>
          </value>
        </values>
      </ddeItem>
      <ddeItem name="ai[106].group" advise="1">
        <values>
          <value>
            <val>3</val>
          </value>
        </values>
      </ddeItem>
      <ddeItem name="ai[106].H.EN" advise="1">
        <values>
          <value>
            <val>0</val>
          </value>
        </values>
      </ddeItem>
      <ddeItem name="ai[106].H.fix" advise="1">
        <values>
          <value>
            <val>0</val>
          </value>
        </values>
      </ddeItem>
      <ddeItem name="ai[106].H.V" advise="1">
        <values>
          <value>
            <val>0</val>
          </value>
        </values>
      </ddeItem>
      <ddeItem name="ai[106].HH.EN" advise="1">
        <values>
          <value>
            <val>0</val>
          </value>
        </values>
      </ddeItem>
      <ddeItem name="ai[106].HH.fix" advise="1">
        <values>
          <value>
            <val>0</val>
          </value>
        </values>
      </ddeItem>
      <ddeItem name="ai[106].HH.V" advise="1">
        <values>
          <value>
            <val>0</val>
          </value>
        </values>
      </ddeItem>
      <ddeItem name="ai[106].i" advise="1">
        <values>
          <value>
            <val>0</val>
          </value>
        </values>
      </ddeItem>
      <ddeItem name="ai[106].isCorrect" advise="1">
        <values>
          <value>
            <val>0</val>
          </value>
        </values>
      </ddeItem>
      <ddeItem name="ai[106].isCut" advise="1"/>
      <ddeItem name="ai[106].isForce" advise="1">
        <values>
          <value>
            <val>0</val>
          </value>
        </values>
      </ddeItem>
      <ddeItem name="ai[106].isInvScale" advise="1">
        <values>
          <value>
            <val>0</val>
          </value>
        </values>
      </ddeItem>
      <ddeItem name="ai[106].L.EN" advise="1">
        <values>
          <value>
            <val>0</val>
          </value>
        </values>
      </ddeItem>
      <ddeItem name="ai[106].L.fix" advise="1">
        <values>
          <value>
            <val>0</val>
          </value>
        </values>
      </ddeItem>
      <ddeItem name="ai[106].L.V" advise="1">
        <values>
          <value>
            <val>0</val>
          </value>
        </values>
      </ddeItem>
      <ddeItem name="ai[106].LL.EN" advise="1">
        <values>
          <value>
            <val>0</val>
          </value>
        </values>
      </ddeItem>
      <ddeItem name="ai[106].LL.fix" advise="1">
        <values>
          <value>
            <val>0</val>
          </value>
        </values>
      </ddeItem>
      <ddeItem name="ai[106].LL.V" advise="1">
        <values>
          <value>
            <val>0</val>
          </value>
        </values>
      </ddeItem>
      <ddeItem name="ai[106].RH.EN" advise="1">
        <values>
          <value>
            <val>1</val>
          </value>
        </values>
      </ddeItem>
      <ddeItem name="ai[106].RH.fix" advise="1">
        <values>
          <value>
            <val>0</val>
          </value>
        </values>
      </ddeItem>
      <ddeItem name="ai[106].RH.V" advise="1">
        <values>
          <value>
            <val>320</val>
          </value>
        </values>
      </ddeItem>
      <ddeItem name="ai[106].RL.EN" advise="1">
        <values>
          <value>
            <val>1</val>
          </value>
        </values>
      </ddeItem>
      <ddeItem name="ai[106].RL.fix" advise="1">
        <values>
          <value>
            <val>0</val>
          </value>
        </values>
      </ddeItem>
      <ddeItem name="ai[106].RL.V" advise="1">
        <values>
          <value>
            <val>32</val>
          </value>
        </values>
      </ddeItem>
      <ddeItem name="ai[106].state" advise="1">
        <values>
          <value>
            <val>4</val>
          </value>
        </values>
      </ddeItem>
      <ddeItem name="ai[106].v" advise="1">
        <values>
          <value>
            <val>0</val>
          </value>
        </values>
      </ddeItem>
      <ddeItem name="ai[106].vCorrect" advise="1"/>
      <ddeItem name="ai[106].vCut" advise="1"/>
      <ddeItem name="ai[106].vRaw" advise="1"/>
      <ddeItem name="ai[106].ZH" advise="1">
        <values>
          <value>
            <val>350</val>
          </value>
        </values>
      </ddeItem>
      <ddeItem name="ai[106].ZL" advise="1">
        <values>
          <value>
            <val>0</val>
          </value>
        </values>
      </ddeItem>
      <ddeItem name="ai[107].break.sgn" advise="1">
        <values>
          <value>
            <val>0</val>
          </value>
        </values>
      </ddeItem>
      <ddeItem name="ai[107].EN" advise="1">
        <values>
          <value>
            <val>0</val>
          </value>
        </values>
      </ddeItem>
      <ddeItem name="ai[107].group" advise="1">
        <values>
          <value>
            <val>3</val>
          </value>
        </values>
      </ddeItem>
      <ddeItem name="ai[107].H.EN" advise="1">
        <values>
          <value>
            <val>0</val>
          </value>
        </values>
      </ddeItem>
      <ddeItem name="ai[107].H.fix" advise="1">
        <values>
          <value>
            <val>0</val>
          </value>
        </values>
      </ddeItem>
      <ddeItem name="ai[107].H.V" advise="1">
        <values>
          <value>
            <val>0</val>
          </value>
        </values>
      </ddeItem>
      <ddeItem name="ai[107].HH.EN" advise="1">
        <values>
          <value>
            <val>0</val>
          </value>
        </values>
      </ddeItem>
      <ddeItem name="ai[107].HH.fix" advise="1">
        <values>
          <value>
            <val>0</val>
          </value>
        </values>
      </ddeItem>
      <ddeItem name="ai[107].HH.V" advise="1">
        <values>
          <value>
            <val>0</val>
          </value>
        </values>
      </ddeItem>
      <ddeItem name="ai[107].i" advise="1">
        <values>
          <value>
            <val>0</val>
          </value>
        </values>
      </ddeItem>
      <ddeItem name="ai[107].isCorrect" advise="1">
        <values>
          <value>
            <val>0</val>
          </value>
        </values>
      </ddeItem>
      <ddeItem name="ai[107].isCut" advise="1"/>
      <ddeItem name="ai[107].isForce" advise="1">
        <values>
          <value>
            <val>0</val>
          </value>
        </values>
      </ddeItem>
      <ddeItem name="ai[107].isInvScale" advise="1">
        <values>
          <value>
            <val>0</val>
          </value>
        </values>
      </ddeItem>
      <ddeItem name="ai[107].L.EN" advise="1">
        <values>
          <value>
            <val>0</val>
          </value>
        </values>
      </ddeItem>
      <ddeItem name="ai[107].L.fix" advise="1">
        <values>
          <value>
            <val>0</val>
          </value>
        </values>
      </ddeItem>
      <ddeItem name="ai[107].L.V" advise="1">
        <values>
          <value>
            <val>0</val>
          </value>
        </values>
      </ddeItem>
      <ddeItem name="ai[107].LL.EN" advise="1">
        <values>
          <value>
            <val>0</val>
          </value>
        </values>
      </ddeItem>
      <ddeItem name="ai[107].LL.fix" advise="1">
        <values>
          <value>
            <val>0</val>
          </value>
        </values>
      </ddeItem>
      <ddeItem name="ai[107].LL.V" advise="1">
        <values>
          <value>
            <val>0</val>
          </value>
        </values>
      </ddeItem>
      <ddeItem name="ai[107].RH.EN" advise="1">
        <values>
          <value>
            <val>1</val>
          </value>
        </values>
      </ddeItem>
      <ddeItem name="ai[107].RH.fix" advise="1">
        <values>
          <value>
            <val>0</val>
          </value>
        </values>
      </ddeItem>
      <ddeItem name="ai[107].RH.V" advise="1">
        <values>
          <value>
            <val>320</val>
          </value>
        </values>
      </ddeItem>
      <ddeItem name="ai[107].RL.EN" advise="1">
        <values>
          <value>
            <val>1</val>
          </value>
        </values>
      </ddeItem>
      <ddeItem name="ai[107].RL.fix" advise="1">
        <values>
          <value>
            <val>0</val>
          </value>
        </values>
      </ddeItem>
      <ddeItem name="ai[107].RL.V" advise="1">
        <values>
          <value>
            <val>32</val>
          </value>
        </values>
      </ddeItem>
      <ddeItem name="ai[107].state" advise="1">
        <values>
          <value>
            <val>4</val>
          </value>
        </values>
      </ddeItem>
      <ddeItem name="ai[107].v" advise="1">
        <values>
          <value>
            <val>0</val>
          </value>
        </values>
      </ddeItem>
      <ddeItem name="ai[107].vCorrect" advise="1"/>
      <ddeItem name="ai[107].vCut" advise="1"/>
      <ddeItem name="ai[107].vRaw" advise="1"/>
      <ddeItem name="ai[107].ZH" advise="1">
        <values>
          <value>
            <val>350</val>
          </value>
        </values>
      </ddeItem>
      <ddeItem name="ai[107].ZL" advise="1">
        <values>
          <value>
            <val>0</val>
          </value>
        </values>
      </ddeItem>
      <ddeItem name="ai[108].break.sgn" advise="1">
        <values>
          <value>
            <val>1</val>
          </value>
        </values>
      </ddeItem>
      <ddeItem name="ai[108].EN" advise="1">
        <values>
          <value>
            <val>1</val>
          </value>
        </values>
      </ddeItem>
      <ddeItem name="ai[108].group" advise="1">
        <values>
          <value>
            <val>3</val>
          </value>
        </values>
      </ddeItem>
      <ddeItem name="ai[108].H.EN" advise="1">
        <values>
          <value>
            <val>1</val>
          </value>
        </values>
      </ddeItem>
      <ddeItem name="ai[108].H.fix" advise="1">
        <values>
          <value>
            <val>0</val>
          </value>
        </values>
      </ddeItem>
      <ddeItem name="ai[108].H.V" advise="1">
        <values>
          <value>
            <val>13</val>
          </value>
        </values>
      </ddeItem>
      <ddeItem name="ai[108].HH.EN" advise="1">
        <values>
          <value>
            <val>1</val>
          </value>
        </values>
      </ddeItem>
      <ddeItem name="ai[108].HH.fix" advise="1">
        <values>
          <value>
            <val>0</val>
          </value>
        </values>
      </ddeItem>
      <ddeItem name="ai[108].HH.V" advise="1">
        <values>
          <value>
            <val>14</val>
          </value>
        </values>
      </ddeItem>
      <ddeItem name="ai[108].i" advise="1">
        <values>
          <value>
            <val>1.8844599999999999E-3</val>
          </value>
        </values>
      </ddeItem>
      <ddeItem name="ai[108].isCorrect" advise="1">
        <values>
          <value>
            <val>0</val>
          </value>
        </values>
      </ddeItem>
      <ddeItem name="ai[108].isCut" advise="1"/>
      <ddeItem name="ai[108].isForce" advise="1">
        <values>
          <value>
            <val>0</val>
          </value>
        </values>
      </ddeItem>
      <ddeItem name="ai[108].isInvScale" advise="1">
        <values>
          <value>
            <val>0</val>
          </value>
        </values>
      </ddeItem>
      <ddeItem name="ai[108].L.EN" advise="1">
        <values>
          <value>
            <val>0</val>
          </value>
        </values>
      </ddeItem>
      <ddeItem name="ai[108].L.fix" advise="1">
        <values>
          <value>
            <val>0</val>
          </value>
        </values>
      </ddeItem>
      <ddeItem name="ai[108].L.V" advise="1">
        <values>
          <value>
            <val>0</val>
          </value>
        </values>
      </ddeItem>
      <ddeItem name="ai[108].LL.EN" advise="1">
        <values>
          <value>
            <val>0</val>
          </value>
        </values>
      </ddeItem>
      <ddeItem name="ai[108].LL.fix" advise="1">
        <values>
          <value>
            <val>0</val>
          </value>
        </values>
      </ddeItem>
      <ddeItem name="ai[108].LL.V" advise="1">
        <values>
          <value>
            <val>0</val>
          </value>
        </values>
      </ddeItem>
      <ddeItem name="ai[108].RH.EN" advise="1">
        <values>
          <value>
            <val>1</val>
          </value>
        </values>
      </ddeItem>
      <ddeItem name="ai[108].RH.fix" advise="1">
        <values>
          <value>
            <val>0</val>
          </value>
        </values>
      </ddeItem>
      <ddeItem name="ai[108].RH.V" advise="1">
        <values>
          <value>
            <val>13</val>
          </value>
        </values>
      </ddeItem>
      <ddeItem name="ai[108].RL.EN" advise="1">
        <values>
          <value>
            <val>1</val>
          </value>
        </values>
      </ddeItem>
      <ddeItem name="ai[108].RL.fix" advise="1">
        <values>
          <value>
            <val>0</val>
          </value>
        </values>
      </ddeItem>
      <ddeItem name="ai[108].RL.V" advise="1">
        <values>
          <value>
            <val>5</val>
          </value>
        </values>
      </ddeItem>
      <ddeItem name="ai[108].state" advise="1">
        <values>
          <value>
            <val>4</val>
          </value>
        </values>
      </ddeItem>
      <ddeItem name="ai[108].v" advise="1">
        <values>
          <value>
            <val>0</val>
          </value>
        </values>
      </ddeItem>
      <ddeItem name="ai[108].vCorrect" advise="1"/>
      <ddeItem name="ai[108].vCut" advise="1"/>
      <ddeItem name="ai[108].vRaw" advise="1"/>
      <ddeItem name="ai[108].ZH" advise="1">
        <values>
          <value>
            <val>20</val>
          </value>
        </values>
      </ddeItem>
      <ddeItem name="ai[108].ZL" advise="1">
        <values>
          <value>
            <val>0</val>
          </value>
        </values>
      </ddeItem>
      <ddeItem name="ai[109].break.sgn" advise="1">
        <values>
          <value>
            <val>1</val>
          </value>
        </values>
      </ddeItem>
      <ddeItem name="ai[109].EN" advise="1">
        <values>
          <value>
            <val>1</val>
          </value>
        </values>
      </ddeItem>
      <ddeItem name="ai[109].group" advise="1">
        <values>
          <value>
            <val>3</val>
          </value>
        </values>
      </ddeItem>
      <ddeItem name="ai[109].H.EN" advise="1">
        <values>
          <value>
            <val>0</val>
          </value>
        </values>
      </ddeItem>
      <ddeItem name="ai[109].H.fix" advise="1">
        <values>
          <value>
            <val>0</val>
          </value>
        </values>
      </ddeItem>
      <ddeItem name="ai[109].H.V" advise="1">
        <values>
          <value>
            <val>0</val>
          </value>
        </values>
      </ddeItem>
      <ddeItem name="ai[109].HH.EN" advise="1">
        <values>
          <value>
            <val>0</val>
          </value>
        </values>
      </ddeItem>
      <ddeItem name="ai[109].HH.fix" advise="1">
        <values>
          <value>
            <val>0</val>
          </value>
        </values>
      </ddeItem>
      <ddeItem name="ai[109].HH.V" advise="1">
        <values>
          <value>
            <val>0</val>
          </value>
        </values>
      </ddeItem>
      <ddeItem name="ai[109].i" advise="1">
        <values>
          <value>
            <val>2.198219E-3</val>
          </value>
        </values>
      </ddeItem>
      <ddeItem name="ai[109].isCorrect" advise="1">
        <values>
          <value>
            <val>0</val>
          </value>
        </values>
      </ddeItem>
      <ddeItem name="ai[109].isCut" advise="1"/>
      <ddeItem name="ai[109].isForce" advise="1">
        <values>
          <value>
            <val>0</val>
          </value>
        </values>
      </ddeItem>
      <ddeItem name="ai[109].isInvScale" advise="1">
        <values>
          <value>
            <val>0</val>
          </value>
        </values>
      </ddeItem>
      <ddeItem name="ai[109].L.EN" advise="1">
        <values>
          <value>
            <val>0</val>
          </value>
        </values>
      </ddeItem>
      <ddeItem name="ai[109].L.fix" advise="1">
        <values>
          <value>
            <val>0</val>
          </value>
        </values>
      </ddeItem>
      <ddeItem name="ai[109].L.V" advise="1">
        <values>
          <value>
            <val>0</val>
          </value>
        </values>
      </ddeItem>
      <ddeItem name="ai[109].LL.EN" advise="1">
        <values>
          <value>
            <val>0</val>
          </value>
        </values>
      </ddeItem>
      <ddeItem name="ai[109].LL.fix" advise="1">
        <values>
          <value>
            <val>0</val>
          </value>
        </values>
      </ddeItem>
      <ddeItem name="ai[109].LL.V" advise="1">
        <values>
          <value>
            <val>0</val>
          </value>
        </values>
      </ddeItem>
      <ddeItem name="ai[109].RH.EN" advise="1">
        <values>
          <value>
            <val>1</val>
          </value>
        </values>
      </ddeItem>
      <ddeItem name="ai[109].RH.fix" advise="1">
        <values>
          <value>
            <val>0</val>
          </value>
        </values>
      </ddeItem>
      <ddeItem name="ai[109].RH.V" advise="1">
        <values>
          <value>
            <val>1.05</val>
          </value>
        </values>
      </ddeItem>
      <ddeItem name="ai[109].RL.EN" advise="1">
        <values>
          <value>
            <val>1</val>
          </value>
        </values>
      </ddeItem>
      <ddeItem name="ai[109].RL.fix" advise="1">
        <values>
          <value>
            <val>0</val>
          </value>
        </values>
      </ddeItem>
      <ddeItem name="ai[109].RL.V" advise="1">
        <values>
          <value>
            <val>0.95</val>
          </value>
        </values>
      </ddeItem>
      <ddeItem name="ai[109].state" advise="1">
        <values>
          <value>
            <val>4</val>
          </value>
        </values>
      </ddeItem>
      <ddeItem name="ai[109].v" advise="1">
        <values>
          <value>
            <val>0</val>
          </value>
        </values>
      </ddeItem>
      <ddeItem name="ai[109].vCorrect" advise="1"/>
      <ddeItem name="ai[109].vCut" advise="1"/>
      <ddeItem name="ai[109].vRaw" advise="1"/>
      <ddeItem name="ai[109].ZH" advise="1">
        <values>
          <value>
            <val>2</val>
          </value>
        </values>
      </ddeItem>
      <ddeItem name="ai[109].ZL" advise="1">
        <values>
          <value>
            <val>0</val>
          </value>
        </values>
      </ddeItem>
      <ddeItem name="AI[11].break.sgn" advise="1">
        <values>
          <value>
            <val>0</val>
          </value>
        </values>
      </ddeItem>
      <ddeItem name="AI[11].EN" advise="1">
        <values>
          <value>
            <val>0</val>
          </value>
        </values>
      </ddeItem>
      <ddeItem name="AI[11].group" advise="1">
        <values>
          <value>
            <val>1</val>
          </value>
        </values>
      </ddeItem>
      <ddeItem name="AI[11].H.EN" advise="1">
        <values>
          <value>
            <val>0</val>
          </value>
        </values>
      </ddeItem>
      <ddeItem name="AI[11].H.fix" advise="1">
        <values>
          <value>
            <val>0</val>
          </value>
        </values>
      </ddeItem>
      <ddeItem name="AI[11].H.V" advise="1">
        <values>
          <value>
            <val>0</val>
          </value>
        </values>
      </ddeItem>
      <ddeItem name="AI[11].HH.EN" advise="1">
        <values>
          <value>
            <val>0</val>
          </value>
        </values>
      </ddeItem>
      <ddeItem name="AI[11].HH.fix" advise="1">
        <values>
          <value>
            <val>0</val>
          </value>
        </values>
      </ddeItem>
      <ddeItem name="AI[11].HH.V" advise="1">
        <values>
          <value>
            <val>0</val>
          </value>
        </values>
      </ddeItem>
      <ddeItem name="AI[11].i" advise="1">
        <values>
          <value>
            <val>0</val>
          </value>
        </values>
      </ddeItem>
      <ddeItem name="AI[11].isCorrect" advise="1">
        <values>
          <value>
            <val>0</val>
          </value>
        </values>
      </ddeItem>
      <ddeItem name="AI[11].isCut" advise="1"/>
      <ddeItem name="AI[11].isForce" advise="1">
        <values>
          <value>
            <val>0</val>
          </value>
        </values>
      </ddeItem>
      <ddeItem name="AI[11].isInvScale" advise="1">
        <values>
          <value>
            <val>0</val>
          </value>
        </values>
      </ddeItem>
      <ddeItem name="AI[11].L.EN" advise="1">
        <values>
          <value>
            <val>0</val>
          </value>
        </values>
      </ddeItem>
      <ddeItem name="AI[11].L.fix" advise="1">
        <values>
          <value>
            <val>0</val>
          </value>
        </values>
      </ddeItem>
      <ddeItem name="AI[11].L.V" advise="1">
        <values>
          <value>
            <val>0</val>
          </value>
        </values>
      </ddeItem>
      <ddeItem name="AI[11].LL.EN" advise="1">
        <values>
          <value>
            <val>0</val>
          </value>
        </values>
      </ddeItem>
      <ddeItem name="AI[11].LL.fix" advise="1">
        <values>
          <value>
            <val>0</val>
          </value>
        </values>
      </ddeItem>
      <ddeItem name="AI[11].LL.V" advise="1">
        <values>
          <value>
            <val>0</val>
          </value>
        </values>
      </ddeItem>
      <ddeItem name="AI[11].RH.EN" advise="1">
        <values>
          <value>
            <val>1</val>
          </value>
        </values>
      </ddeItem>
      <ddeItem name="AI[11].RH.fix" advise="1">
        <values>
          <value>
            <val>0</val>
          </value>
        </values>
      </ddeItem>
      <ddeItem name="AI[11].RH.V" advise="1">
        <values>
          <value>
            <val>320</val>
          </value>
        </values>
      </ddeItem>
      <ddeItem name="AI[11].RL.EN" advise="1">
        <values>
          <value>
            <val>1</val>
          </value>
        </values>
      </ddeItem>
      <ddeItem name="AI[11].RL.fix" advise="1">
        <values>
          <value>
            <val>1</val>
          </value>
        </values>
      </ddeItem>
      <ddeItem name="AI[11].RL.V" advise="1">
        <values>
          <value>
            <val>32</val>
          </value>
        </values>
      </ddeItem>
      <ddeItem name="AI[11].state" advise="1">
        <values>
          <value>
            <val>4</val>
          </value>
        </values>
      </ddeItem>
      <ddeItem name="AI[11].v" advise="1">
        <values>
          <value>
            <val>0</val>
          </value>
        </values>
      </ddeItem>
      <ddeItem name="AI[11].vCorrect" advise="1"/>
      <ddeItem name="AI[11].vCut" advise="1"/>
      <ddeItem name="AI[11].vRaw" advise="1"/>
      <ddeItem name="AI[11].ZH" advise="1">
        <values>
          <value>
            <val>350</val>
          </value>
        </values>
      </ddeItem>
      <ddeItem name="AI[11].ZL" advise="1">
        <values>
          <value>
            <val>0</val>
          </value>
        </values>
      </ddeItem>
      <ddeItem name="ai[110].break.sgn" advise="1">
        <values>
          <value>
            <val>0</val>
          </value>
        </values>
      </ddeItem>
      <ddeItem name="ai[110].EN" advise="1">
        <values>
          <value>
            <val>0</val>
          </value>
        </values>
      </ddeItem>
      <ddeItem name="ai[110].group" advise="1">
        <values>
          <value>
            <val>0</val>
          </value>
        </values>
      </ddeItem>
      <ddeItem name="ai[110].H.EN" advise="1">
        <values>
          <value>
            <val>0</val>
          </value>
        </values>
      </ddeItem>
      <ddeItem name="ai[110].H.fix" advise="1">
        <values>
          <value>
            <val>0</val>
          </value>
        </values>
      </ddeItem>
      <ddeItem name="ai[110].H.V" advise="1">
        <values>
          <value>
            <val>0</val>
          </value>
        </values>
      </ddeItem>
      <ddeItem name="ai[110].HH.EN" advise="1">
        <values>
          <value>
            <val>0</val>
          </value>
        </values>
      </ddeItem>
      <ddeItem name="ai[110].HH.fix" advise="1">
        <values>
          <value>
            <val>0</val>
          </value>
        </values>
      </ddeItem>
      <ddeItem name="ai[110].HH.V" advise="1">
        <values>
          <value>
            <val>0</val>
          </value>
        </values>
      </ddeItem>
      <ddeItem name="ai[110].i" advise="1">
        <values>
          <value>
            <val>0</val>
          </value>
        </values>
      </ddeItem>
      <ddeItem name="ai[110].isCorrect" advise="1">
        <values>
          <value>
            <val>0</val>
          </value>
        </values>
      </ddeItem>
      <ddeItem name="ai[110].isCut" advise="1"/>
      <ddeItem name="ai[110].isForce" advise="1">
        <values>
          <value>
            <val>0</val>
          </value>
        </values>
      </ddeItem>
      <ddeItem name="ai[110].isInvScale" advise="1">
        <values>
          <value>
            <val>0</val>
          </value>
        </values>
      </ddeItem>
      <ddeItem name="ai[110].L.EN" advise="1">
        <values>
          <value>
            <val>0</val>
          </value>
        </values>
      </ddeItem>
      <ddeItem name="ai[110].L.fix" advise="1">
        <values>
          <value>
            <val>0</val>
          </value>
        </values>
      </ddeItem>
      <ddeItem name="ai[110].L.V" advise="1">
        <values>
          <value>
            <val>0</val>
          </value>
        </values>
      </ddeItem>
      <ddeItem name="ai[110].LL.EN" advise="1">
        <values>
          <value>
            <val>0</val>
          </value>
        </values>
      </ddeItem>
      <ddeItem name="ai[110].LL.fix" advise="1">
        <values>
          <value>
            <val>0</val>
          </value>
        </values>
      </ddeItem>
      <ddeItem name="ai[110].LL.V" advise="1">
        <values>
          <value>
            <val>0</val>
          </value>
        </values>
      </ddeItem>
      <ddeItem name="ai[110].RH.EN" advise="1">
        <values>
          <value>
            <val>0</val>
          </value>
        </values>
      </ddeItem>
      <ddeItem name="ai[110].RH.fix" advise="1">
        <values>
          <value>
            <val>0</val>
          </value>
        </values>
      </ddeItem>
      <ddeItem name="ai[110].RH.V" advise="1">
        <values>
          <value>
            <val>0</val>
          </value>
        </values>
      </ddeItem>
      <ddeItem name="ai[110].RL.EN" advise="1">
        <values>
          <value>
            <val>0</val>
          </value>
        </values>
      </ddeItem>
      <ddeItem name="ai[110].RL.fix" advise="1">
        <values>
          <value>
            <val>0</val>
          </value>
        </values>
      </ddeItem>
      <ddeItem name="ai[110].RL.V" advise="1">
        <values>
          <value>
            <val>0</val>
          </value>
        </values>
      </ddeItem>
      <ddeItem name="ai[110].state" advise="1">
        <values>
          <value>
            <val>4</val>
          </value>
        </values>
      </ddeItem>
      <ddeItem name="ai[110].v" advise="1">
        <values>
          <value>
            <val>0</val>
          </value>
        </values>
      </ddeItem>
      <ddeItem name="ai[110].vCorrect" advise="1"/>
      <ddeItem name="ai[110].vCut" advise="1"/>
      <ddeItem name="ai[110].vRaw" advise="1"/>
      <ddeItem name="ai[110].ZH" advise="1">
        <values>
          <value>
            <val>0</val>
          </value>
        </values>
      </ddeItem>
      <ddeItem name="ai[110].ZL" advise="1">
        <values>
          <value>
            <val>0</val>
          </value>
        </values>
      </ddeItem>
      <ddeItem name="ai[111].break.sgn" advise="1">
        <values>
          <value>
            <val>0</val>
          </value>
        </values>
      </ddeItem>
      <ddeItem name="ai[111].EN" advise="1">
        <values>
          <value>
            <val>0</val>
          </value>
        </values>
      </ddeItem>
      <ddeItem name="ai[111].group" advise="1">
        <values>
          <value>
            <val>0</val>
          </value>
        </values>
      </ddeItem>
      <ddeItem name="ai[111].H.EN" advise="1">
        <values>
          <value>
            <val>0</val>
          </value>
        </values>
      </ddeItem>
      <ddeItem name="ai[111].H.fix" advise="1">
        <values>
          <value>
            <val>0</val>
          </value>
        </values>
      </ddeItem>
      <ddeItem name="ai[111].H.V" advise="1">
        <values>
          <value>
            <val>0</val>
          </value>
        </values>
      </ddeItem>
      <ddeItem name="ai[111].HH.EN" advise="1">
        <values>
          <value>
            <val>0</val>
          </value>
        </values>
      </ddeItem>
      <ddeItem name="ai[111].HH.fix" advise="1">
        <values>
          <value>
            <val>0</val>
          </value>
        </values>
      </ddeItem>
      <ddeItem name="ai[111].HH.V" advise="1">
        <values>
          <value>
            <val>0</val>
          </value>
        </values>
      </ddeItem>
      <ddeItem name="ai[111].i" advise="1">
        <values>
          <value>
            <val>0</val>
          </value>
        </values>
      </ddeItem>
      <ddeItem name="ai[111].isCorrect" advise="1">
        <values>
          <value>
            <val>0</val>
          </value>
        </values>
      </ddeItem>
      <ddeItem name="ai[111].isCut" advise="1"/>
      <ddeItem name="ai[111].isForce" advise="1">
        <values>
          <value>
            <val>0</val>
          </value>
        </values>
      </ddeItem>
      <ddeItem name="ai[111].isInvScale" advise="1">
        <values>
          <value>
            <val>0</val>
          </value>
        </values>
      </ddeItem>
      <ddeItem name="ai[111].L.EN" advise="1">
        <values>
          <value>
            <val>0</val>
          </value>
        </values>
      </ddeItem>
      <ddeItem name="ai[111].L.fix" advise="1">
        <values>
          <value>
            <val>0</val>
          </value>
        </values>
      </ddeItem>
      <ddeItem name="ai[111].L.V" advise="1">
        <values>
          <value>
            <val>0</val>
          </value>
        </values>
      </ddeItem>
      <ddeItem name="ai[111].LL.EN" advise="1">
        <values>
          <value>
            <val>0</val>
          </value>
        </values>
      </ddeItem>
      <ddeItem name="ai[111].LL.fix" advise="1">
        <values>
          <value>
            <val>0</val>
          </value>
        </values>
      </ddeItem>
      <ddeItem name="ai[111].LL.V" advise="1">
        <values>
          <value>
            <val>0</val>
          </value>
        </values>
      </ddeItem>
      <ddeItem name="ai[111].RH.EN" advise="1">
        <values>
          <value>
            <val>0</val>
          </value>
        </values>
      </ddeItem>
      <ddeItem name="ai[111].RH.fix" advise="1">
        <values>
          <value>
            <val>0</val>
          </value>
        </values>
      </ddeItem>
      <ddeItem name="ai[111].RH.V" advise="1">
        <values>
          <value>
            <val>0</val>
          </value>
        </values>
      </ddeItem>
      <ddeItem name="ai[111].RL.EN" advise="1">
        <values>
          <value>
            <val>0</val>
          </value>
        </values>
      </ddeItem>
      <ddeItem name="ai[111].RL.fix" advise="1">
        <values>
          <value>
            <val>0</val>
          </value>
        </values>
      </ddeItem>
      <ddeItem name="ai[111].RL.V" advise="1">
        <values>
          <value>
            <val>0</val>
          </value>
        </values>
      </ddeItem>
      <ddeItem name="ai[111].state" advise="1">
        <values>
          <value>
            <val>4</val>
          </value>
        </values>
      </ddeItem>
      <ddeItem name="ai[111].v" advise="1">
        <values>
          <value>
            <val>0</val>
          </value>
        </values>
      </ddeItem>
      <ddeItem name="ai[111].vCorrect" advise="1"/>
      <ddeItem name="ai[111].vCut" advise="1"/>
      <ddeItem name="ai[111].vRaw" advise="1"/>
      <ddeItem name="ai[111].ZH" advise="1">
        <values>
          <value>
            <val>0</val>
          </value>
        </values>
      </ddeItem>
      <ddeItem name="ai[111].ZL" advise="1">
        <values>
          <value>
            <val>0</val>
          </value>
        </values>
      </ddeItem>
      <ddeItem name="ai[112].break.sgn" advise="1">
        <values>
          <value>
            <val>1</val>
          </value>
        </values>
      </ddeItem>
      <ddeItem name="ai[112].EN" advise="1">
        <values>
          <value>
            <val>1</val>
          </value>
        </values>
      </ddeItem>
      <ddeItem name="ai[112].group" advise="1">
        <values>
          <value>
            <val>3</val>
          </value>
        </values>
      </ddeItem>
      <ddeItem name="ai[112].H.EN" advise="1">
        <values>
          <value>
            <val>0</val>
          </value>
        </values>
      </ddeItem>
      <ddeItem name="ai[112].H.fix" advise="1">
        <values>
          <value>
            <val>0</val>
          </value>
        </values>
      </ddeItem>
      <ddeItem name="ai[112].H.V" advise="1">
        <values>
          <value>
            <val>0</val>
          </value>
        </values>
      </ddeItem>
      <ddeItem name="ai[112].HH.EN" advise="1">
        <values>
          <value>
            <val>0</val>
          </value>
        </values>
      </ddeItem>
      <ddeItem name="ai[112].HH.fix" advise="1">
        <values>
          <value>
            <val>0</val>
          </value>
        </values>
      </ddeItem>
      <ddeItem name="ai[112].HH.V" advise="1">
        <values>
          <value>
            <val>0</val>
          </value>
        </values>
      </ddeItem>
      <ddeItem name="ai[112].i" advise="1">
        <values>
          <value>
            <val>3.1404499999999999E-3</val>
          </value>
        </values>
      </ddeItem>
      <ddeItem name="ai[112].isCorrect" advise="1">
        <values>
          <value>
            <val>0</val>
          </value>
        </values>
      </ddeItem>
      <ddeItem name="ai[112].isCut" advise="1"/>
      <ddeItem name="ai[112].isForce" advise="1">
        <values>
          <value>
            <val>0</val>
          </value>
        </values>
      </ddeItem>
      <ddeItem name="ai[112].isInvScale" advise="1">
        <values>
          <value>
            <val>0</val>
          </value>
        </values>
      </ddeItem>
      <ddeItem name="ai[112].L.EN" advise="1">
        <values>
          <value>
            <val>0</val>
          </value>
        </values>
      </ddeItem>
      <ddeItem name="ai[112].L.fix" advise="1">
        <values>
          <value>
            <val>0</val>
          </value>
        </values>
      </ddeItem>
      <ddeItem name="ai[112].L.V" advise="1">
        <values>
          <value>
            <val>0</val>
          </value>
        </values>
      </ddeItem>
      <ddeItem name="ai[112].LL.EN" advise="1">
        <values>
          <value>
            <val>0</val>
          </value>
        </values>
      </ddeItem>
      <ddeItem name="ai[112].LL.fix" advise="1">
        <values>
          <value>
            <val>0</val>
          </value>
        </values>
      </ddeItem>
      <ddeItem name="ai[112].LL.V" advise="1">
        <values>
          <value>
            <val>0</val>
          </value>
        </values>
      </ddeItem>
      <ddeItem name="ai[112].RH.EN" advise="1">
        <values>
          <value>
            <val>1</val>
          </value>
        </values>
      </ddeItem>
      <ddeItem name="ai[112].RH.fix" advise="1">
        <values>
          <value>
            <val>0</val>
          </value>
        </values>
      </ddeItem>
      <ddeItem name="ai[112].RH.V" advise="1">
        <values>
          <value>
            <val>40</val>
          </value>
        </values>
      </ddeItem>
      <ddeItem name="ai[112].RL.EN" advise="1">
        <values>
          <value>
            <val>1</val>
          </value>
        </values>
      </ddeItem>
      <ddeItem name="ai[112].RL.fix" advise="1">
        <values>
          <value>
            <val>0</val>
          </value>
        </values>
      </ddeItem>
      <ddeItem name="ai[112].RL.V" advise="1">
        <values>
          <value>
            <val>5</val>
          </value>
        </values>
      </ddeItem>
      <ddeItem name="ai[112].state" advise="1">
        <values>
          <value>
            <val>4</val>
          </value>
        </values>
      </ddeItem>
      <ddeItem name="ai[112].v" advise="1">
        <values>
          <value>
            <val>0</val>
          </value>
        </values>
      </ddeItem>
      <ddeItem name="ai[112].vCorrect" advise="1"/>
      <ddeItem name="ai[112].vCut" advise="1"/>
      <ddeItem name="ai[112].vRaw" advise="1"/>
      <ddeItem name="ai[112].ZH" advise="1">
        <values>
          <value>
            <val>50</val>
          </value>
        </values>
      </ddeItem>
      <ddeItem name="ai[112].ZL" advise="1">
        <values>
          <value>
            <val>-50</val>
          </value>
        </values>
      </ddeItem>
      <ddeItem name="ai[113].break.sgn" advise="1">
        <values>
          <value>
            <val>1</val>
          </value>
        </values>
      </ddeItem>
      <ddeItem name="ai[113].EN" advise="1">
        <values>
          <value>
            <val>1</val>
          </value>
        </values>
      </ddeItem>
      <ddeItem name="ai[113].group" advise="1">
        <values>
          <value>
            <val>3</val>
          </value>
        </values>
      </ddeItem>
      <ddeItem name="ai[113].H.EN" advise="1">
        <values>
          <value>
            <val>0</val>
          </value>
        </values>
      </ddeItem>
      <ddeItem name="ai[113].H.fix" advise="1">
        <values>
          <value>
            <val>0</val>
          </value>
        </values>
      </ddeItem>
      <ddeItem name="ai[113].H.V" advise="1">
        <values>
          <value>
            <val>0</val>
          </value>
        </values>
      </ddeItem>
      <ddeItem name="ai[113].HH.EN" advise="1">
        <values>
          <value>
            <val>0</val>
          </value>
        </values>
      </ddeItem>
      <ddeItem name="ai[113].HH.fix" advise="1">
        <values>
          <value>
            <val>0</val>
          </value>
        </values>
      </ddeItem>
      <ddeItem name="ai[113].HH.V" advise="1">
        <values>
          <value>
            <val>0</val>
          </value>
        </values>
      </ddeItem>
      <ddeItem name="ai[113].i" advise="1">
        <values>
          <value>
            <val>3.4551619999999999E-3</val>
          </value>
        </values>
      </ddeItem>
      <ddeItem name="ai[113].isCorrect" advise="1">
        <values>
          <value>
            <val>0</val>
          </value>
        </values>
      </ddeItem>
      <ddeItem name="ai[113].isCut" advise="1"/>
      <ddeItem name="ai[113].isForce" advise="1">
        <values>
          <value>
            <val>0</val>
          </value>
        </values>
      </ddeItem>
      <ddeItem name="ai[113].isInvScale" advise="1">
        <values>
          <value>
            <val>0</val>
          </value>
        </values>
      </ddeItem>
      <ddeItem name="ai[113].L.EN" advise="1">
        <values>
          <value>
            <val>0</val>
          </value>
        </values>
      </ddeItem>
      <ddeItem name="ai[113].L.fix" advise="1">
        <values>
          <value>
            <val>0</val>
          </value>
        </values>
      </ddeItem>
      <ddeItem name="ai[113].L.V" advise="1">
        <values>
          <value>
            <val>0</val>
          </value>
        </values>
      </ddeItem>
      <ddeItem name="ai[113].LL.EN" advise="1">
        <values>
          <value>
            <val>0</val>
          </value>
        </values>
      </ddeItem>
      <ddeItem name="ai[113].LL.fix" advise="1">
        <values>
          <value>
            <val>0</val>
          </value>
        </values>
      </ddeItem>
      <ddeItem name="ai[113].LL.V" advise="1">
        <values>
          <value>
            <val>0</val>
          </value>
        </values>
      </ddeItem>
      <ddeItem name="ai[113].RH.EN" advise="1">
        <values>
          <value>
            <val>1</val>
          </value>
        </values>
      </ddeItem>
      <ddeItem name="ai[113].RH.fix" advise="1">
        <values>
          <value>
            <val>0</val>
          </value>
        </values>
      </ddeItem>
      <ddeItem name="ai[113].RH.V" advise="1">
        <values>
          <value>
            <val>60</val>
          </value>
        </values>
      </ddeItem>
      <ddeItem name="ai[113].RL.EN" advise="1">
        <values>
          <value>
            <val>1</val>
          </value>
        </values>
      </ddeItem>
      <ddeItem name="ai[113].RL.fix" advise="1">
        <values>
          <value>
            <val>0</val>
          </value>
        </values>
      </ddeItem>
      <ddeItem name="ai[113].RL.V" advise="1">
        <values>
          <value>
            <val>30</val>
          </value>
        </values>
      </ddeItem>
      <ddeItem name="ai[113].state" advise="1">
        <values>
          <value>
            <val>4</val>
          </value>
        </values>
      </ddeItem>
      <ddeItem name="ai[113].v" advise="1">
        <values>
          <value>
            <val>0</val>
          </value>
        </values>
      </ddeItem>
      <ddeItem name="ai[113].vCorrect" advise="1"/>
      <ddeItem name="ai[113].vCut" advise="1"/>
      <ddeItem name="ai[113].vRaw" advise="1"/>
      <ddeItem name="ai[113].ZH" advise="1">
        <values>
          <value>
            <val>100</val>
          </value>
        </values>
      </ddeItem>
      <ddeItem name="ai[113].ZL" advise="1">
        <values>
          <value>
            <val>0</val>
          </value>
        </values>
      </ddeItem>
      <ddeItem name="ai[114].break.sgn" advise="1">
        <values>
          <value>
            <val>1</val>
          </value>
        </values>
      </ddeItem>
      <ddeItem name="ai[114].EN" advise="1">
        <values>
          <value>
            <val>1</val>
          </value>
        </values>
      </ddeItem>
      <ddeItem name="ai[114].group" advise="1">
        <values>
          <value>
            <val>3</val>
          </value>
        </values>
      </ddeItem>
      <ddeItem name="ai[114].H.EN" advise="1">
        <values>
          <value>
            <val>0</val>
          </value>
        </values>
      </ddeItem>
      <ddeItem name="ai[114].H.fix" advise="1">
        <values>
          <value>
            <val>0</val>
          </value>
        </values>
      </ddeItem>
      <ddeItem name="ai[114].H.V" advise="1">
        <values>
          <value>
            <val>0</val>
          </value>
        </values>
      </ddeItem>
      <ddeItem name="ai[114].HH.EN" advise="1">
        <values>
          <value>
            <val>0</val>
          </value>
        </values>
      </ddeItem>
      <ddeItem name="ai[114].HH.fix" advise="1">
        <values>
          <value>
            <val>0</val>
          </value>
        </values>
      </ddeItem>
      <ddeItem name="ai[114].HH.V" advise="1">
        <values>
          <value>
            <val>0</val>
          </value>
        </values>
      </ddeItem>
      <ddeItem name="ai[114].i" advise="1">
        <values>
          <value>
            <val>3.4551619999999999E-3</val>
          </value>
        </values>
      </ddeItem>
      <ddeItem name="ai[114].isCorrect" advise="1">
        <values>
          <value>
            <val>0</val>
          </value>
        </values>
      </ddeItem>
      <ddeItem name="ai[114].isCut" advise="1"/>
      <ddeItem name="ai[114].isForce" advise="1">
        <values>
          <value>
            <val>0</val>
          </value>
        </values>
      </ddeItem>
      <ddeItem name="ai[114].isInvScale" advise="1">
        <values>
          <value>
            <val>0</val>
          </value>
        </values>
      </ddeItem>
      <ddeItem name="ai[114].L.EN" advise="1">
        <values>
          <value>
            <val>0</val>
          </value>
        </values>
      </ddeItem>
      <ddeItem name="ai[114].L.fix" advise="1">
        <values>
          <value>
            <val>0</val>
          </value>
        </values>
      </ddeItem>
      <ddeItem name="ai[114].L.V" advise="1">
        <values>
          <value>
            <val>0</val>
          </value>
        </values>
      </ddeItem>
      <ddeItem name="ai[114].LL.EN" advise="1">
        <values>
          <value>
            <val>0</val>
          </value>
        </values>
      </ddeItem>
      <ddeItem name="ai[114].LL.fix" advise="1">
        <values>
          <value>
            <val>0</val>
          </value>
        </values>
      </ddeItem>
      <ddeItem name="ai[114].LL.V" advise="1">
        <values>
          <value>
            <val>0</val>
          </value>
        </values>
      </ddeItem>
      <ddeItem name="ai[114].RH.EN" advise="1">
        <values>
          <value>
            <val>1</val>
          </value>
        </values>
      </ddeItem>
      <ddeItem name="ai[114].RH.fix" advise="1">
        <values>
          <value>
            <val>0</val>
          </value>
        </values>
      </ddeItem>
      <ddeItem name="ai[114].RH.V" advise="1">
        <values>
          <value>
            <val>50</val>
          </value>
        </values>
      </ddeItem>
      <ddeItem name="ai[114].RL.EN" advise="1">
        <values>
          <value>
            <val>1</val>
          </value>
        </values>
      </ddeItem>
      <ddeItem name="ai[114].RL.fix" advise="1">
        <values>
          <value>
            <val>0</val>
          </value>
        </values>
      </ddeItem>
      <ddeItem name="ai[114].RL.V" advise="1">
        <values>
          <value>
            <val>30</val>
          </value>
        </values>
      </ddeItem>
      <ddeItem name="ai[114].state" advise="1">
        <values>
          <value>
            <val>4</val>
          </value>
        </values>
      </ddeItem>
      <ddeItem name="ai[114].v" advise="1">
        <values>
          <value>
            <val>0</val>
          </value>
        </values>
      </ddeItem>
      <ddeItem name="ai[114].vCorrect" advise="1"/>
      <ddeItem name="ai[114].vCut" advise="1"/>
      <ddeItem name="ai[114].vRaw" advise="1"/>
      <ddeItem name="ai[114].ZH" advise="1">
        <values>
          <value>
            <val>100</val>
          </value>
        </values>
      </ddeItem>
      <ddeItem name="ai[114].ZL" advise="1">
        <values>
          <value>
            <val>0</val>
          </value>
        </values>
      </ddeItem>
      <ddeItem name="ai[115].break.sgn" advise="1">
        <values>
          <value>
            <val>1</val>
          </value>
        </values>
      </ddeItem>
      <ddeItem name="ai[115].EN" advise="1">
        <values>
          <value>
            <val>1</val>
          </value>
        </values>
      </ddeItem>
      <ddeItem name="ai[115].group" advise="1">
        <values>
          <value>
            <val>3</val>
          </value>
        </values>
      </ddeItem>
      <ddeItem name="ai[115].H.EN" advise="1">
        <values>
          <value>
            <val>0</val>
          </value>
        </values>
      </ddeItem>
      <ddeItem name="ai[115].H.fix" advise="1">
        <values>
          <value>
            <val>0</val>
          </value>
        </values>
      </ddeItem>
      <ddeItem name="ai[115].H.V" advise="1">
        <values>
          <value>
            <val>0</val>
          </value>
        </values>
      </ddeItem>
      <ddeItem name="ai[115].HH.EN" advise="1">
        <values>
          <value>
            <val>0</val>
          </value>
        </values>
      </ddeItem>
      <ddeItem name="ai[115].HH.fix" advise="1">
        <values>
          <value>
            <val>0</val>
          </value>
        </values>
      </ddeItem>
      <ddeItem name="ai[115].HH.V" advise="1">
        <values>
          <value>
            <val>0</val>
          </value>
        </values>
      </ddeItem>
      <ddeItem name="ai[115].i" advise="1">
        <values>
          <value>
            <val>3.4551619999999999E-3</val>
          </value>
        </values>
      </ddeItem>
      <ddeItem name="ai[115].isCorrect" advise="1">
        <values>
          <value>
            <val>0</val>
          </value>
        </values>
      </ddeItem>
      <ddeItem name="ai[115].isCut" advise="1"/>
      <ddeItem name="ai[115].isForce" advise="1">
        <values>
          <value>
            <val>0</val>
          </value>
        </values>
      </ddeItem>
      <ddeItem name="ai[115].isInvScale" advise="1">
        <values>
          <value>
            <val>0</val>
          </value>
        </values>
      </ddeItem>
      <ddeItem name="ai[115].L.EN" advise="1">
        <values>
          <value>
            <val>0</val>
          </value>
        </values>
      </ddeItem>
      <ddeItem name="ai[115].L.fix" advise="1">
        <values>
          <value>
            <val>0</val>
          </value>
        </values>
      </ddeItem>
      <ddeItem name="ai[115].L.V" advise="1">
        <values>
          <value>
            <val>0</val>
          </value>
        </values>
      </ddeItem>
      <ddeItem name="ai[115].LL.EN" advise="1">
        <values>
          <value>
            <val>0</val>
          </value>
        </values>
      </ddeItem>
      <ddeItem name="ai[115].LL.fix" advise="1">
        <values>
          <value>
            <val>0</val>
          </value>
        </values>
      </ddeItem>
      <ddeItem name="ai[115].LL.V" advise="1">
        <values>
          <value>
            <val>0</val>
          </value>
        </values>
      </ddeItem>
      <ddeItem name="ai[115].RH.EN" advise="1">
        <values>
          <value>
            <val>1</val>
          </value>
        </values>
      </ddeItem>
      <ddeItem name="ai[115].RH.fix" advise="1">
        <values>
          <value>
            <val>0</val>
          </value>
        </values>
      </ddeItem>
      <ddeItem name="ai[115].RH.V" advise="1">
        <values>
          <value>
            <val>80</val>
          </value>
        </values>
      </ddeItem>
      <ddeItem name="ai[115].RL.EN" advise="1">
        <values>
          <value>
            <val>1</val>
          </value>
        </values>
      </ddeItem>
      <ddeItem name="ai[115].RL.fix" advise="1">
        <values>
          <value>
            <val>0</val>
          </value>
        </values>
      </ddeItem>
      <ddeItem name="ai[115].RL.V" advise="1">
        <values>
          <value>
            <val>20</val>
          </value>
        </values>
      </ddeItem>
      <ddeItem name="ai[115].state" advise="1">
        <values>
          <value>
            <val>4</val>
          </value>
        </values>
      </ddeItem>
      <ddeItem name="ai[115].v" advise="1">
        <values>
          <value>
            <val>0</val>
          </value>
        </values>
      </ddeItem>
      <ddeItem name="ai[115].vCorrect" advise="1"/>
      <ddeItem name="ai[115].vCut" advise="1"/>
      <ddeItem name="ai[115].vRaw" advise="1"/>
      <ddeItem name="ai[115].ZH" advise="1">
        <values>
          <value>
            <val>100</val>
          </value>
        </values>
      </ddeItem>
      <ddeItem name="ai[115].ZL" advise="1">
        <values>
          <value>
            <val>0</val>
          </value>
        </values>
      </ddeItem>
      <ddeItem name="ai[116].break.sgn" advise="1">
        <values>
          <value>
            <val>1</val>
          </value>
        </values>
      </ddeItem>
      <ddeItem name="ai[116].EN" advise="1">
        <values>
          <value>
            <val>1</val>
          </value>
        </values>
      </ddeItem>
      <ddeItem name="ai[116].group" advise="1">
        <values>
          <value>
            <val>3</val>
          </value>
        </values>
      </ddeItem>
      <ddeItem name="ai[116].H.EN" advise="1">
        <values>
          <value>
            <val>0</val>
          </value>
        </values>
      </ddeItem>
      <ddeItem name="ai[116].H.fix" advise="1">
        <values>
          <value>
            <val>0</val>
          </value>
        </values>
      </ddeItem>
      <ddeItem name="ai[116].H.V" advise="1">
        <values>
          <value>
            <val>0</val>
          </value>
        </values>
      </ddeItem>
      <ddeItem name="ai[116].HH.EN" advise="1">
        <values>
          <value>
            <val>0</val>
          </value>
        </values>
      </ddeItem>
      <ddeItem name="ai[116].HH.fix" advise="1">
        <values>
          <value>
            <val>0</val>
          </value>
        </values>
      </ddeItem>
      <ddeItem name="ai[116].HH.V" advise="1">
        <values>
          <value>
            <val>0</val>
          </value>
        </values>
      </ddeItem>
      <ddeItem name="ai[116].i" advise="1">
        <values>
          <value>
            <val>1.2559890000000001E-3</val>
          </value>
        </values>
      </ddeItem>
      <ddeItem name="ai[116].isCorrect" advise="1">
        <values>
          <value>
            <val>0</val>
          </value>
        </values>
      </ddeItem>
      <ddeItem name="ai[116].isCut" advise="1"/>
      <ddeItem name="ai[116].isForce" advise="1">
        <values>
          <value>
            <val>0</val>
          </value>
        </values>
      </ddeItem>
      <ddeItem name="ai[116].isInvScale" advise="1">
        <values>
          <value>
            <val>0</val>
          </value>
        </values>
      </ddeItem>
      <ddeItem name="ai[116].L.EN" advise="1">
        <values>
          <value>
            <val>0</val>
          </value>
        </values>
      </ddeItem>
      <ddeItem name="ai[116].L.fix" advise="1">
        <values>
          <value>
            <val>0</val>
          </value>
        </values>
      </ddeItem>
      <ddeItem name="ai[116].L.V" advise="1">
        <values>
          <value>
            <val>0</val>
          </value>
        </values>
      </ddeItem>
      <ddeItem name="ai[116].LL.EN" advise="1">
        <values>
          <value>
            <val>0</val>
          </value>
        </values>
      </ddeItem>
      <ddeItem name="ai[116].LL.fix" advise="1">
        <values>
          <value>
            <val>0</val>
          </value>
        </values>
      </ddeItem>
      <ddeItem name="ai[116].LL.V" advise="1">
        <values>
          <value>
            <val>0</val>
          </value>
        </values>
      </ddeItem>
      <ddeItem name="ai[116].RH.EN" advise="1">
        <values>
          <value>
            <val>1</val>
          </value>
        </values>
      </ddeItem>
      <ddeItem name="ai[116].RH.fix" advise="1">
        <values>
          <value>
            <val>0</val>
          </value>
        </values>
      </ddeItem>
      <ddeItem name="ai[116].RH.V" advise="1">
        <values>
          <value>
            <val>80</val>
          </value>
        </values>
      </ddeItem>
      <ddeItem name="ai[116].RL.EN" advise="1">
        <values>
          <value>
            <val>1</val>
          </value>
        </values>
      </ddeItem>
      <ddeItem name="ai[116].RL.fix" advise="1">
        <values>
          <value>
            <val>0</val>
          </value>
        </values>
      </ddeItem>
      <ddeItem name="ai[116].RL.V" advise="1">
        <values>
          <value>
            <val>20</val>
          </value>
        </values>
      </ddeItem>
      <ddeItem name="ai[116].state" advise="1">
        <values>
          <value>
            <val>4</val>
          </value>
        </values>
      </ddeItem>
      <ddeItem name="ai[116].v" advise="1">
        <values>
          <value>
            <val>0</val>
          </value>
        </values>
      </ddeItem>
      <ddeItem name="ai[116].vCorrect" advise="1"/>
      <ddeItem name="ai[116].vCut" advise="1"/>
      <ddeItem name="ai[116].vRaw" advise="1"/>
      <ddeItem name="ai[116].ZH" advise="1">
        <values>
          <value>
            <val>100</val>
          </value>
        </values>
      </ddeItem>
      <ddeItem name="ai[116].ZL" advise="1">
        <values>
          <value>
            <val>0</val>
          </value>
        </values>
      </ddeItem>
      <ddeItem name="ai[117].break.sgn" advise="1">
        <values>
          <value>
            <val>1</val>
          </value>
        </values>
      </ddeItem>
      <ddeItem name="ai[117].EN" advise="1">
        <values>
          <value>
            <val>1</val>
          </value>
        </values>
      </ddeItem>
      <ddeItem name="ai[117].group" advise="1">
        <values>
          <value>
            <val>3</val>
          </value>
        </values>
      </ddeItem>
      <ddeItem name="ai[117].H.EN" advise="1">
        <values>
          <value>
            <val>0</val>
          </value>
        </values>
      </ddeItem>
      <ddeItem name="ai[117].H.fix" advise="1">
        <values>
          <value>
            <val>0</val>
          </value>
        </values>
      </ddeItem>
      <ddeItem name="ai[117].H.V" advise="1">
        <values>
          <value>
            <val>0</val>
          </value>
        </values>
      </ddeItem>
      <ddeItem name="ai[117].HH.EN" advise="1">
        <values>
          <value>
            <val>0</val>
          </value>
        </values>
      </ddeItem>
      <ddeItem name="ai[117].HH.fix" advise="1">
        <values>
          <value>
            <val>0</val>
          </value>
        </values>
      </ddeItem>
      <ddeItem name="ai[117].HH.V" advise="1">
        <values>
          <value>
            <val>0</val>
          </value>
        </values>
      </ddeItem>
      <ddeItem name="ai[117].i" advise="1">
        <values>
          <value>
            <val>1.570702E-3</val>
          </value>
        </values>
      </ddeItem>
      <ddeItem name="ai[117].isCorrect" advise="1">
        <values>
          <value>
            <val>0</val>
          </value>
        </values>
      </ddeItem>
      <ddeItem name="ai[117].isCut" advise="1"/>
      <ddeItem name="ai[117].isForce" advise="1">
        <values>
          <value>
            <val>0</val>
          </value>
        </values>
      </ddeItem>
      <ddeItem name="ai[117].isInvScale" advise="1">
        <values>
          <value>
            <val>0</val>
          </value>
        </values>
      </ddeItem>
      <ddeItem name="ai[117].L.EN" advise="1">
        <values>
          <value>
            <val>0</val>
          </value>
        </values>
      </ddeItem>
      <ddeItem name="ai[117].L.fix" advise="1">
        <values>
          <value>
            <val>0</val>
          </value>
        </values>
      </ddeItem>
      <ddeItem name="ai[117].L.V" advise="1">
        <values>
          <value>
            <val>0</val>
          </value>
        </values>
      </ddeItem>
      <ddeItem name="ai[117].LL.EN" advise="1">
        <values>
          <value>
            <val>0</val>
          </value>
        </values>
      </ddeItem>
      <ddeItem name="ai[117].LL.fix" advise="1">
        <values>
          <value>
            <val>0</val>
          </value>
        </values>
      </ddeItem>
      <ddeItem name="ai[117].LL.V" advise="1">
        <values>
          <value>
            <val>0</val>
          </value>
        </values>
      </ddeItem>
      <ddeItem name="ai[117].RH.EN" advise="1">
        <values>
          <value>
            <val>1</val>
          </value>
        </values>
      </ddeItem>
      <ddeItem name="ai[117].RH.fix" advise="1">
        <values>
          <value>
            <val>0</val>
          </value>
        </values>
      </ddeItem>
      <ddeItem name="ai[117].RH.V" advise="1">
        <values>
          <value>
            <val>80</val>
          </value>
        </values>
      </ddeItem>
      <ddeItem name="ai[117].RL.EN" advise="1">
        <values>
          <value>
            <val>1</val>
          </value>
        </values>
      </ddeItem>
      <ddeItem name="ai[117].RL.fix" advise="1">
        <values>
          <value>
            <val>0</val>
          </value>
        </values>
      </ddeItem>
      <ddeItem name="ai[117].RL.V" advise="1">
        <values>
          <value>
            <val>20</val>
          </value>
        </values>
      </ddeItem>
      <ddeItem name="ai[117].state" advise="1">
        <values>
          <value>
            <val>4</val>
          </value>
        </values>
      </ddeItem>
      <ddeItem name="ai[117].v" advise="1">
        <values>
          <value>
            <val>0</val>
          </value>
        </values>
      </ddeItem>
      <ddeItem name="ai[117].vCorrect" advise="1"/>
      <ddeItem name="ai[117].vCut" advise="1"/>
      <ddeItem name="ai[117].vRaw" advise="1"/>
      <ddeItem name="ai[117].ZH" advise="1">
        <values>
          <value>
            <val>100</val>
          </value>
        </values>
      </ddeItem>
      <ddeItem name="ai[117].ZL" advise="1">
        <values>
          <value>
            <val>0</val>
          </value>
        </values>
      </ddeItem>
      <ddeItem name="ai[118].break.sgn" advise="1">
        <values>
          <value>
            <val>1</val>
          </value>
        </values>
      </ddeItem>
      <ddeItem name="ai[118].EN" advise="1">
        <values>
          <value>
            <val>1</val>
          </value>
        </values>
      </ddeItem>
      <ddeItem name="ai[118].group" advise="1">
        <values>
          <value>
            <val>3</val>
          </value>
        </values>
      </ddeItem>
      <ddeItem name="ai[118].H.EN" advise="1">
        <values>
          <value>
            <val>0</val>
          </value>
        </values>
      </ddeItem>
      <ddeItem name="ai[118].H.fix" advise="1">
        <values>
          <value>
            <val>0</val>
          </value>
        </values>
      </ddeItem>
      <ddeItem name="ai[118].H.V" advise="1">
        <values>
          <value>
            <val>0</val>
          </value>
        </values>
      </ddeItem>
      <ddeItem name="ai[118].HH.EN" advise="1">
        <values>
          <value>
            <val>0</val>
          </value>
        </values>
      </ddeItem>
      <ddeItem name="ai[118].HH.fix" advise="1">
        <values>
          <value>
            <val>0</val>
          </value>
        </values>
      </ddeItem>
      <ddeItem name="ai[118].HH.V" advise="1">
        <values>
          <value>
            <val>0</val>
          </value>
        </values>
      </ddeItem>
      <ddeItem name="ai[118].i" advise="1">
        <values>
          <value>
            <val>1.570702E-3</val>
          </value>
        </values>
      </ddeItem>
      <ddeItem name="ai[118].isCorrect" advise="1">
        <values>
          <value>
            <val>0</val>
          </value>
        </values>
      </ddeItem>
      <ddeItem name="ai[118].isCut" advise="1"/>
      <ddeItem name="ai[118].isForce" advise="1">
        <values>
          <value>
            <val>0</val>
          </value>
        </values>
      </ddeItem>
      <ddeItem name="ai[118].isInvScale" advise="1">
        <values>
          <value>
            <val>0</val>
          </value>
        </values>
      </ddeItem>
      <ddeItem name="ai[118].L.EN" advise="1">
        <values>
          <value>
            <val>0</val>
          </value>
        </values>
      </ddeItem>
      <ddeItem name="ai[118].L.fix" advise="1">
        <values>
          <value>
            <val>0</val>
          </value>
        </values>
      </ddeItem>
      <ddeItem name="ai[118].L.V" advise="1">
        <values>
          <value>
            <val>0</val>
          </value>
        </values>
      </ddeItem>
      <ddeItem name="ai[118].LL.EN" advise="1">
        <values>
          <value>
            <val>0</val>
          </value>
        </values>
      </ddeItem>
      <ddeItem name="ai[118].LL.fix" advise="1">
        <values>
          <value>
            <val>0</val>
          </value>
        </values>
      </ddeItem>
      <ddeItem name="ai[118].LL.V" advise="1">
        <values>
          <value>
            <val>0</val>
          </value>
        </values>
      </ddeItem>
      <ddeItem name="ai[118].RH.EN" advise="1">
        <values>
          <value>
            <val>1</val>
          </value>
        </values>
      </ddeItem>
      <ddeItem name="ai[118].RH.fix" advise="1">
        <values>
          <value>
            <val>0</val>
          </value>
        </values>
      </ddeItem>
      <ddeItem name="ai[118].RH.V" advise="1">
        <values>
          <value>
            <val>80</val>
          </value>
        </values>
      </ddeItem>
      <ddeItem name="ai[118].RL.EN" advise="1">
        <values>
          <value>
            <val>1</val>
          </value>
        </values>
      </ddeItem>
      <ddeItem name="ai[118].RL.fix" advise="1">
        <values>
          <value>
            <val>0</val>
          </value>
        </values>
      </ddeItem>
      <ddeItem name="ai[118].RL.V" advise="1">
        <values>
          <value>
            <val>20</val>
          </value>
        </values>
      </ddeItem>
      <ddeItem name="ai[118].state" advise="1">
        <values>
          <value>
            <val>4</val>
          </value>
        </values>
      </ddeItem>
      <ddeItem name="ai[118].v" advise="1">
        <values>
          <value>
            <val>0</val>
          </value>
        </values>
      </ddeItem>
      <ddeItem name="ai[118].vCorrect" advise="1"/>
      <ddeItem name="ai[118].vCut" advise="1"/>
      <ddeItem name="ai[118].vRaw" advise="1"/>
      <ddeItem name="ai[118].ZH" advise="1">
        <values>
          <value>
            <val>100</val>
          </value>
        </values>
      </ddeItem>
      <ddeItem name="ai[118].ZL" advise="1">
        <values>
          <value>
            <val>0</val>
          </value>
        </values>
      </ddeItem>
      <ddeItem name="ai[119].break.sgn" advise="1">
        <values>
          <value>
            <val>1</val>
          </value>
        </values>
      </ddeItem>
      <ddeItem name="ai[119].EN" advise="1">
        <values>
          <value>
            <val>1</val>
          </value>
        </values>
      </ddeItem>
      <ddeItem name="ai[119].group" advise="1">
        <values>
          <value>
            <val>3</val>
          </value>
        </values>
      </ddeItem>
      <ddeItem name="ai[119].H.EN" advise="1">
        <values>
          <value>
            <val>0</val>
          </value>
        </values>
      </ddeItem>
      <ddeItem name="ai[119].H.fix" advise="1">
        <values>
          <value>
            <val>0</val>
          </value>
        </values>
      </ddeItem>
      <ddeItem name="ai[119].H.V" advise="1">
        <values>
          <value>
            <val>0</val>
          </value>
        </values>
      </ddeItem>
      <ddeItem name="ai[119].HH.EN" advise="1">
        <values>
          <value>
            <val>0</val>
          </value>
        </values>
      </ddeItem>
      <ddeItem name="ai[119].HH.fix" advise="1">
        <values>
          <value>
            <val>0</val>
          </value>
        </values>
      </ddeItem>
      <ddeItem name="ai[119].HH.V" advise="1">
        <values>
          <value>
            <val>0</val>
          </value>
        </values>
      </ddeItem>
      <ddeItem name="ai[119].i" advise="1">
        <values>
          <value>
            <val>1.570702E-3</val>
          </value>
        </values>
      </ddeItem>
      <ddeItem name="ai[119].isCorrect" advise="1">
        <values>
          <value>
            <val>0</val>
          </value>
        </values>
      </ddeItem>
      <ddeItem name="ai[119].isCut" advise="1"/>
      <ddeItem name="ai[119].isForce" advise="1">
        <values>
          <value>
            <val>0</val>
          </value>
        </values>
      </ddeItem>
      <ddeItem name="ai[119].isInvScale" advise="1">
        <values>
          <value>
            <val>0</val>
          </value>
        </values>
      </ddeItem>
      <ddeItem name="ai[119].L.EN" advise="1">
        <values>
          <value>
            <val>0</val>
          </value>
        </values>
      </ddeItem>
      <ddeItem name="ai[119].L.fix" advise="1">
        <values>
          <value>
            <val>0</val>
          </value>
        </values>
      </ddeItem>
      <ddeItem name="ai[119].L.V" advise="1">
        <values>
          <value>
            <val>0</val>
          </value>
        </values>
      </ddeItem>
      <ddeItem name="ai[119].LL.EN" advise="1">
        <values>
          <value>
            <val>0</val>
          </value>
        </values>
      </ddeItem>
      <ddeItem name="ai[119].LL.fix" advise="1">
        <values>
          <value>
            <val>0</val>
          </value>
        </values>
      </ddeItem>
      <ddeItem name="ai[119].LL.V" advise="1">
        <values>
          <value>
            <val>0</val>
          </value>
        </values>
      </ddeItem>
      <ddeItem name="ai[119].RH.EN" advise="1">
        <values>
          <value>
            <val>1</val>
          </value>
        </values>
      </ddeItem>
      <ddeItem name="ai[119].RH.fix" advise="1">
        <values>
          <value>
            <val>0</val>
          </value>
        </values>
      </ddeItem>
      <ddeItem name="ai[119].RH.V" advise="1">
        <values>
          <value>
            <val>80</val>
          </value>
        </values>
      </ddeItem>
      <ddeItem name="ai[119].RL.EN" advise="1">
        <values>
          <value>
            <val>1</val>
          </value>
        </values>
      </ddeItem>
      <ddeItem name="ai[119].RL.fix" advise="1">
        <values>
          <value>
            <val>0</val>
          </value>
        </values>
      </ddeItem>
      <ddeItem name="ai[119].RL.V" advise="1">
        <values>
          <value>
            <val>20</val>
          </value>
        </values>
      </ddeItem>
      <ddeItem name="ai[119].state" advise="1">
        <values>
          <value>
            <val>4</val>
          </value>
        </values>
      </ddeItem>
      <ddeItem name="ai[119].v" advise="1">
        <values>
          <value>
            <val>0</val>
          </value>
        </values>
      </ddeItem>
      <ddeItem name="ai[119].vCorrect" advise="1"/>
      <ddeItem name="ai[119].vCut" advise="1"/>
      <ddeItem name="ai[119].vRaw" advise="1"/>
      <ddeItem name="ai[119].ZH" advise="1">
        <values>
          <value>
            <val>100</val>
          </value>
        </values>
      </ddeItem>
      <ddeItem name="ai[119].ZL" advise="1">
        <values>
          <value>
            <val>0</val>
          </value>
        </values>
      </ddeItem>
      <ddeItem name="AI[12].break.sgn" advise="1">
        <values>
          <value>
            <val>1</val>
          </value>
        </values>
      </ddeItem>
      <ddeItem name="AI[12].EN" advise="1">
        <values>
          <value>
            <val>1</val>
          </value>
        </values>
      </ddeItem>
      <ddeItem name="AI[12].group" advise="1">
        <values>
          <value>
            <val>1</val>
          </value>
        </values>
      </ddeItem>
      <ddeItem name="AI[12].H.EN" advise="1">
        <values>
          <value>
            <val>1</val>
          </value>
        </values>
      </ddeItem>
      <ddeItem name="AI[12].H.fix" advise="1">
        <values>
          <value>
            <val>0</val>
          </value>
        </values>
      </ddeItem>
      <ddeItem name="AI[12].H.V" advise="1">
        <values>
          <value>
            <val>13</val>
          </value>
        </values>
      </ddeItem>
      <ddeItem name="AI[12].HH.EN" advise="1">
        <values>
          <value>
            <val>1</val>
          </value>
        </values>
      </ddeItem>
      <ddeItem name="AI[12].HH.fix" advise="1">
        <values>
          <value>
            <val>0</val>
          </value>
        </values>
      </ddeItem>
      <ddeItem name="AI[12].HH.V" advise="1">
        <values>
          <value>
            <val>14</val>
          </value>
        </values>
      </ddeItem>
      <ddeItem name="AI[12].i" advise="1">
        <values>
          <value>
            <val>2.8266910000000001E-3</val>
          </value>
        </values>
      </ddeItem>
      <ddeItem name="AI[12].isCorrect" advise="1">
        <values>
          <value>
            <val>0</val>
          </value>
        </values>
      </ddeItem>
      <ddeItem name="AI[12].isCut" advise="1"/>
      <ddeItem name="AI[12].isForce" advise="1">
        <values>
          <value>
            <val>0</val>
          </value>
        </values>
      </ddeItem>
      <ddeItem name="AI[12].isInvScale" advise="1">
        <values>
          <value>
            <val>0</val>
          </value>
        </values>
      </ddeItem>
      <ddeItem name="AI[12].L.EN" advise="1">
        <values>
          <value>
            <val>0</val>
          </value>
        </values>
      </ddeItem>
      <ddeItem name="AI[12].L.fix" advise="1">
        <values>
          <value>
            <val>0</val>
          </value>
        </values>
      </ddeItem>
      <ddeItem name="AI[12].L.V" advise="1">
        <values>
          <value>
            <val>0</val>
          </value>
        </values>
      </ddeItem>
      <ddeItem name="AI[12].LL.EN" advise="1">
        <values>
          <value>
            <val>0</val>
          </value>
        </values>
      </ddeItem>
      <ddeItem name="AI[12].LL.fix" advise="1">
        <values>
          <value>
            <val>0</val>
          </value>
        </values>
      </ddeItem>
      <ddeItem name="AI[12].LL.V" advise="1">
        <values>
          <value>
            <val>0</val>
          </value>
        </values>
      </ddeItem>
      <ddeItem name="AI[12].RH.EN" advise="1">
        <values>
          <value>
            <val>1</val>
          </value>
        </values>
      </ddeItem>
      <ddeItem name="AI[12].RH.fix" advise="1">
        <values>
          <value>
            <val>0</val>
          </value>
        </values>
      </ddeItem>
      <ddeItem name="AI[12].RH.V" advise="1">
        <values>
          <value>
            <val>13</val>
          </value>
        </values>
      </ddeItem>
      <ddeItem name="AI[12].RL.EN" advise="1">
        <values>
          <value>
            <val>1</val>
          </value>
        </values>
      </ddeItem>
      <ddeItem name="AI[12].RL.fix" advise="1">
        <values>
          <value>
            <val>0</val>
          </value>
        </values>
      </ddeItem>
      <ddeItem name="AI[12].RL.V" advise="1">
        <values>
          <value>
            <val>5</val>
          </value>
        </values>
      </ddeItem>
      <ddeItem name="AI[12].state" advise="1">
        <values>
          <value>
            <val>4</val>
          </value>
        </values>
      </ddeItem>
      <ddeItem name="AI[12].v" advise="1">
        <values>
          <value>
            <val>0</val>
          </value>
        </values>
      </ddeItem>
      <ddeItem name="AI[12].vCorrect" advise="1"/>
      <ddeItem name="AI[12].vCut" advise="1"/>
      <ddeItem name="AI[12].vRaw" advise="1"/>
      <ddeItem name="AI[12].ZH" advise="1">
        <values>
          <value>
            <val>20</val>
          </value>
        </values>
      </ddeItem>
      <ddeItem name="AI[12].ZL" advise="1">
        <values>
          <value>
            <val>0</val>
          </value>
        </values>
      </ddeItem>
      <ddeItem name="ai[120].break.sgn" advise="1">
        <values>
          <value>
            <val>1</val>
          </value>
        </values>
      </ddeItem>
      <ddeItem name="ai[120].EN" advise="1">
        <values>
          <value>
            <val>1</val>
          </value>
        </values>
      </ddeItem>
      <ddeItem name="ai[120].group" advise="1">
        <values>
          <value>
            <val>3</val>
          </value>
        </values>
      </ddeItem>
      <ddeItem name="ai[120].H.EN" advise="1">
        <values>
          <value>
            <val>0</val>
          </value>
        </values>
      </ddeItem>
      <ddeItem name="ai[120].H.fix" advise="1">
        <values>
          <value>
            <val>0</val>
          </value>
        </values>
      </ddeItem>
      <ddeItem name="ai[120].H.V" advise="1">
        <values>
          <value>
            <val>0</val>
          </value>
        </values>
      </ddeItem>
      <ddeItem name="ai[120].HH.EN" advise="1">
        <values>
          <value>
            <val>0</val>
          </value>
        </values>
      </ddeItem>
      <ddeItem name="ai[120].HH.fix" advise="1">
        <values>
          <value>
            <val>0</val>
          </value>
        </values>
      </ddeItem>
      <ddeItem name="ai[120].HH.V" advise="1">
        <values>
          <value>
            <val>0</val>
          </value>
        </values>
      </ddeItem>
      <ddeItem name="ai[120].i" advise="1">
        <values>
          <value>
            <val>1.2559890000000001E-3</val>
          </value>
        </values>
      </ddeItem>
      <ddeItem name="ai[120].isCorrect" advise="1">
        <values>
          <value>
            <val>0</val>
          </value>
        </values>
      </ddeItem>
      <ddeItem name="ai[120].isCut" advise="1"/>
      <ddeItem name="ai[120].isForce" advise="1">
        <values>
          <value>
            <val>0</val>
          </value>
        </values>
      </ddeItem>
      <ddeItem name="ai[120].isInvScale" advise="1">
        <values>
          <value>
            <val>0</val>
          </value>
        </values>
      </ddeItem>
      <ddeItem name="ai[120].L.EN" advise="1">
        <values>
          <value>
            <val>0</val>
          </value>
        </values>
      </ddeItem>
      <ddeItem name="ai[120].L.fix" advise="1">
        <values>
          <value>
            <val>0</val>
          </value>
        </values>
      </ddeItem>
      <ddeItem name="ai[120].L.V" advise="1">
        <values>
          <value>
            <val>0</val>
          </value>
        </values>
      </ddeItem>
      <ddeItem name="ai[120].LL.EN" advise="1">
        <values>
          <value>
            <val>0</val>
          </value>
        </values>
      </ddeItem>
      <ddeItem name="ai[120].LL.fix" advise="1">
        <values>
          <value>
            <val>0</val>
          </value>
        </values>
      </ddeItem>
      <ddeItem name="ai[120].LL.V" advise="1">
        <values>
          <value>
            <val>0</val>
          </value>
        </values>
      </ddeItem>
      <ddeItem name="ai[120].RH.EN" advise="1">
        <values>
          <value>
            <val>1</val>
          </value>
        </values>
      </ddeItem>
      <ddeItem name="ai[120].RH.fix" advise="1">
        <values>
          <value>
            <val>0</val>
          </value>
        </values>
      </ddeItem>
      <ddeItem name="ai[120].RH.V" advise="1">
        <values>
          <value>
            <val>80</val>
          </value>
        </values>
      </ddeItem>
      <ddeItem name="ai[120].RL.EN" advise="1">
        <values>
          <value>
            <val>1</val>
          </value>
        </values>
      </ddeItem>
      <ddeItem name="ai[120].RL.fix" advise="1">
        <values>
          <value>
            <val>0</val>
          </value>
        </values>
      </ddeItem>
      <ddeItem name="ai[120].RL.V" advise="1">
        <values>
          <value>
            <val>20</val>
          </value>
        </values>
      </ddeItem>
      <ddeItem name="ai[120].state" advise="1">
        <values>
          <value>
            <val>4</val>
          </value>
        </values>
      </ddeItem>
      <ddeItem name="ai[120].v" advise="1">
        <values>
          <value>
            <val>0</val>
          </value>
        </values>
      </ddeItem>
      <ddeItem name="ai[120].vCorrect" advise="1"/>
      <ddeItem name="ai[120].vCut" advise="1"/>
      <ddeItem name="ai[120].vRaw" advise="1"/>
      <ddeItem name="ai[120].ZH" advise="1">
        <values>
          <value>
            <val>100</val>
          </value>
        </values>
      </ddeItem>
      <ddeItem name="ai[120].ZL" advise="1">
        <values>
          <value>
            <val>0</val>
          </value>
        </values>
      </ddeItem>
      <ddeItem name="ai[121].break.sgn" advise="1">
        <values>
          <value>
            <val>1</val>
          </value>
        </values>
      </ddeItem>
      <ddeItem name="ai[121].EN" advise="1">
        <values>
          <value>
            <val>1</val>
          </value>
        </values>
      </ddeItem>
      <ddeItem name="ai[121].group" advise="1">
        <values>
          <value>
            <val>3</val>
          </value>
        </values>
      </ddeItem>
      <ddeItem name="ai[121].H.EN" advise="1">
        <values>
          <value>
            <val>0</val>
          </value>
        </values>
      </ddeItem>
      <ddeItem name="ai[121].H.fix" advise="1">
        <values>
          <value>
            <val>0</val>
          </value>
        </values>
      </ddeItem>
      <ddeItem name="ai[121].H.V" advise="1">
        <values>
          <value>
            <val>0</val>
          </value>
        </values>
      </ddeItem>
      <ddeItem name="ai[121].HH.EN" advise="1">
        <values>
          <value>
            <val>0</val>
          </value>
        </values>
      </ddeItem>
      <ddeItem name="ai[121].HH.fix" advise="1">
        <values>
          <value>
            <val>0</val>
          </value>
        </values>
      </ddeItem>
      <ddeItem name="ai[121].HH.V" advise="1">
        <values>
          <value>
            <val>0</val>
          </value>
        </values>
      </ddeItem>
      <ddeItem name="ai[121].i" advise="1">
        <values>
          <value>
            <val>1.570702E-3</val>
          </value>
        </values>
      </ddeItem>
      <ddeItem name="ai[121].isCorrect" advise="1">
        <values>
          <value>
            <val>0</val>
          </value>
        </values>
      </ddeItem>
      <ddeItem name="ai[121].isCut" advise="1"/>
      <ddeItem name="ai[121].isForce" advise="1">
        <values>
          <value>
            <val>0</val>
          </value>
        </values>
      </ddeItem>
      <ddeItem name="ai[121].isInvScale" advise="1">
        <values>
          <value>
            <val>0</val>
          </value>
        </values>
      </ddeItem>
      <ddeItem name="ai[121].L.EN" advise="1">
        <values>
          <value>
            <val>0</val>
          </value>
        </values>
      </ddeItem>
      <ddeItem name="ai[121].L.fix" advise="1">
        <values>
          <value>
            <val>0</val>
          </value>
        </values>
      </ddeItem>
      <ddeItem name="ai[121].L.V" advise="1">
        <values>
          <value>
            <val>0</val>
          </value>
        </values>
      </ddeItem>
      <ddeItem name="ai[121].LL.EN" advise="1">
        <values>
          <value>
            <val>0</val>
          </value>
        </values>
      </ddeItem>
      <ddeItem name="ai[121].LL.fix" advise="1">
        <values>
          <value>
            <val>0</val>
          </value>
        </values>
      </ddeItem>
      <ddeItem name="ai[121].LL.V" advise="1">
        <values>
          <value>
            <val>0</val>
          </value>
        </values>
      </ddeItem>
      <ddeItem name="ai[121].RH.EN" advise="1">
        <values>
          <value>
            <val>1</val>
          </value>
        </values>
      </ddeItem>
      <ddeItem name="ai[121].RH.fix" advise="1">
        <values>
          <value>
            <val>0</val>
          </value>
        </values>
      </ddeItem>
      <ddeItem name="ai[121].RH.V" advise="1">
        <values>
          <value>
            <val>170</val>
          </value>
        </values>
      </ddeItem>
      <ddeItem name="ai[121].RL.EN" advise="1">
        <values>
          <value>
            <val>1</val>
          </value>
        </values>
      </ddeItem>
      <ddeItem name="ai[121].RL.fix" advise="1">
        <values>
          <value>
            <val>0</val>
          </value>
        </values>
      </ddeItem>
      <ddeItem name="ai[121].RL.V" advise="1">
        <values>
          <value>
            <val>160</val>
          </value>
        </values>
      </ddeItem>
      <ddeItem name="ai[121].state" advise="1">
        <values>
          <value>
            <val>4</val>
          </value>
        </values>
      </ddeItem>
      <ddeItem name="ai[121].v" advise="1">
        <values>
          <value>
            <val>0</val>
          </value>
        </values>
      </ddeItem>
      <ddeItem name="ai[121].vCorrect" advise="1"/>
      <ddeItem name="ai[121].vCut" advise="1"/>
      <ddeItem name="ai[121].vRaw" advise="1"/>
      <ddeItem name="ai[121].ZH" advise="1">
        <values>
          <value>
            <val>300</val>
          </value>
        </values>
      </ddeItem>
      <ddeItem name="ai[121].ZL" advise="1">
        <values>
          <value>
            <val>0</val>
          </value>
        </values>
      </ddeItem>
      <ddeItem name="ai[122].break.sgn" advise="1">
        <values>
          <value>
            <val>1</val>
          </value>
        </values>
      </ddeItem>
      <ddeItem name="ai[122].EN" advise="1">
        <values>
          <value>
            <val>1</val>
          </value>
        </values>
      </ddeItem>
      <ddeItem name="ai[122].group" advise="1">
        <values>
          <value>
            <val>3</val>
          </value>
        </values>
      </ddeItem>
      <ddeItem name="ai[122].H.EN" advise="1">
        <values>
          <value>
            <val>0</val>
          </value>
        </values>
      </ddeItem>
      <ddeItem name="ai[122].H.fix" advise="1">
        <values>
          <value>
            <val>0</val>
          </value>
        </values>
      </ddeItem>
      <ddeItem name="ai[122].H.V" advise="1">
        <values>
          <value>
            <val>0</val>
          </value>
        </values>
      </ddeItem>
      <ddeItem name="ai[122].HH.EN" advise="1">
        <values>
          <value>
            <val>0</val>
          </value>
        </values>
      </ddeItem>
      <ddeItem name="ai[122].HH.fix" advise="1">
        <values>
          <value>
            <val>0</val>
          </value>
        </values>
      </ddeItem>
      <ddeItem name="ai[122].HH.V" advise="1">
        <values>
          <value>
            <val>0</val>
          </value>
        </values>
      </ddeItem>
      <ddeItem name="ai[122].i" advise="1">
        <values>
          <value>
            <val>1.570702E-3</val>
          </value>
        </values>
      </ddeItem>
      <ddeItem name="ai[122].isCorrect" advise="1">
        <values>
          <value>
            <val>0</val>
          </value>
        </values>
      </ddeItem>
      <ddeItem name="ai[122].isCut" advise="1"/>
      <ddeItem name="ai[122].isForce" advise="1">
        <values>
          <value>
            <val>0</val>
          </value>
        </values>
      </ddeItem>
      <ddeItem name="ai[122].isInvScale" advise="1">
        <values>
          <value>
            <val>0</val>
          </value>
        </values>
      </ddeItem>
      <ddeItem name="ai[122].L.EN" advise="1">
        <values>
          <value>
            <val>0</val>
          </value>
        </values>
      </ddeItem>
      <ddeItem name="ai[122].L.fix" advise="1">
        <values>
          <value>
            <val>0</val>
          </value>
        </values>
      </ddeItem>
      <ddeItem name="ai[122].L.V" advise="1">
        <values>
          <value>
            <val>0</val>
          </value>
        </values>
      </ddeItem>
      <ddeItem name="ai[122].LL.EN" advise="1">
        <values>
          <value>
            <val>0</val>
          </value>
        </values>
      </ddeItem>
      <ddeItem name="ai[122].LL.fix" advise="1">
        <values>
          <value>
            <val>0</val>
          </value>
        </values>
      </ddeItem>
      <ddeItem name="ai[122].LL.V" advise="1">
        <values>
          <value>
            <val>0</val>
          </value>
        </values>
      </ddeItem>
      <ddeItem name="ai[122].RH.EN" advise="1">
        <values>
          <value>
            <val>1</val>
          </value>
        </values>
      </ddeItem>
      <ddeItem name="ai[122].RH.fix" advise="1">
        <values>
          <value>
            <val>0</val>
          </value>
        </values>
      </ddeItem>
      <ddeItem name="ai[122].RH.V" advise="1">
        <values>
          <value>
            <val>170</val>
          </value>
        </values>
      </ddeItem>
      <ddeItem name="ai[122].RL.EN" advise="1">
        <values>
          <value>
            <val>1</val>
          </value>
        </values>
      </ddeItem>
      <ddeItem name="ai[122].RL.fix" advise="1">
        <values>
          <value>
            <val>0</val>
          </value>
        </values>
      </ddeItem>
      <ddeItem name="ai[122].RL.V" advise="1">
        <values>
          <value>
            <val>160</val>
          </value>
        </values>
      </ddeItem>
      <ddeItem name="ai[122].state" advise="1">
        <values>
          <value>
            <val>4</val>
          </value>
        </values>
      </ddeItem>
      <ddeItem name="ai[122].v" advise="1">
        <values>
          <value>
            <val>0</val>
          </value>
        </values>
      </ddeItem>
      <ddeItem name="ai[122].vCorrect" advise="1"/>
      <ddeItem name="ai[122].vCut" advise="1"/>
      <ddeItem name="ai[122].vRaw" advise="1"/>
      <ddeItem name="ai[122].ZH" advise="1">
        <values>
          <value>
            <val>300</val>
          </value>
        </values>
      </ddeItem>
      <ddeItem name="ai[122].ZL" advise="1">
        <values>
          <value>
            <val>0</val>
          </value>
        </values>
      </ddeItem>
      <ddeItem name="ai[123].break.sgn" advise="1">
        <values>
          <value>
            <val>1</val>
          </value>
        </values>
      </ddeItem>
      <ddeItem name="ai[123].EN" advise="1">
        <values>
          <value>
            <val>1</val>
          </value>
        </values>
      </ddeItem>
      <ddeItem name="ai[123].group" advise="1">
        <values>
          <value>
            <val>3</val>
          </value>
        </values>
      </ddeItem>
      <ddeItem name="ai[123].H.EN" advise="1">
        <values>
          <value>
            <val>0</val>
          </value>
        </values>
      </ddeItem>
      <ddeItem name="ai[123].H.fix" advise="1">
        <values>
          <value>
            <val>0</val>
          </value>
        </values>
      </ddeItem>
      <ddeItem name="ai[123].H.V" advise="1">
        <values>
          <value>
            <val>0</val>
          </value>
        </values>
      </ddeItem>
      <ddeItem name="ai[123].HH.EN" advise="1">
        <values>
          <value>
            <val>0</val>
          </value>
        </values>
      </ddeItem>
      <ddeItem name="ai[123].HH.fix" advise="1">
        <values>
          <value>
            <val>0</val>
          </value>
        </values>
      </ddeItem>
      <ddeItem name="ai[123].HH.V" advise="1">
        <values>
          <value>
            <val>0</val>
          </value>
        </values>
      </ddeItem>
      <ddeItem name="ai[123].i" advise="1">
        <values>
          <value>
            <val>1.2559890000000001E-3</val>
          </value>
        </values>
      </ddeItem>
      <ddeItem name="ai[123].isCorrect" advise="1">
        <values>
          <value>
            <val>0</val>
          </value>
        </values>
      </ddeItem>
      <ddeItem name="ai[123].isCut" advise="1"/>
      <ddeItem name="ai[123].isForce" advise="1">
        <values>
          <value>
            <val>0</val>
          </value>
        </values>
      </ddeItem>
      <ddeItem name="ai[123].isInvScale" advise="1">
        <values>
          <value>
            <val>0</val>
          </value>
        </values>
      </ddeItem>
      <ddeItem name="ai[123].L.EN" advise="1">
        <values>
          <value>
            <val>0</val>
          </value>
        </values>
      </ddeItem>
      <ddeItem name="ai[123].L.fix" advise="1">
        <values>
          <value>
            <val>0</val>
          </value>
        </values>
      </ddeItem>
      <ddeItem name="ai[123].L.V" advise="1">
        <values>
          <value>
            <val>0</val>
          </value>
        </values>
      </ddeItem>
      <ddeItem name="ai[123].LL.EN" advise="1">
        <values>
          <value>
            <val>0</val>
          </value>
        </values>
      </ddeItem>
      <ddeItem name="ai[123].LL.fix" advise="1">
        <values>
          <value>
            <val>0</val>
          </value>
        </values>
      </ddeItem>
      <ddeItem name="ai[123].LL.V" advise="1">
        <values>
          <value>
            <val>0</val>
          </value>
        </values>
      </ddeItem>
      <ddeItem name="ai[123].RH.EN" advise="1">
        <values>
          <value>
            <val>1</val>
          </value>
        </values>
      </ddeItem>
      <ddeItem name="ai[123].RH.fix" advise="1">
        <values>
          <value>
            <val>0</val>
          </value>
        </values>
      </ddeItem>
      <ddeItem name="ai[123].RH.V" advise="1">
        <values>
          <value>
            <val>170</val>
          </value>
        </values>
      </ddeItem>
      <ddeItem name="ai[123].RL.EN" advise="1">
        <values>
          <value>
            <val>1</val>
          </value>
        </values>
      </ddeItem>
      <ddeItem name="ai[123].RL.fix" advise="1">
        <values>
          <value>
            <val>0</val>
          </value>
        </values>
      </ddeItem>
      <ddeItem name="ai[123].RL.V" advise="1">
        <values>
          <value>
            <val>160</val>
          </value>
        </values>
      </ddeItem>
      <ddeItem name="ai[123].state" advise="1">
        <values>
          <value>
            <val>4</val>
          </value>
        </values>
      </ddeItem>
      <ddeItem name="ai[123].v" advise="1">
        <values>
          <value>
            <val>0</val>
          </value>
        </values>
      </ddeItem>
      <ddeItem name="ai[123].vCorrect" advise="1"/>
      <ddeItem name="ai[123].vCut" advise="1"/>
      <ddeItem name="ai[123].vRaw" advise="1"/>
      <ddeItem name="ai[123].ZH" advise="1">
        <values>
          <value>
            <val>300</val>
          </value>
        </values>
      </ddeItem>
      <ddeItem name="ai[123].ZL" advise="1">
        <values>
          <value>
            <val>0</val>
          </value>
        </values>
      </ddeItem>
      <ddeItem name="ai[124].break.sgn" advise="1">
        <values>
          <value>
            <val>1</val>
          </value>
        </values>
      </ddeItem>
      <ddeItem name="ai[124].EN" advise="1">
        <values>
          <value>
            <val>1</val>
          </value>
        </values>
      </ddeItem>
      <ddeItem name="ai[124].group" advise="1">
        <values>
          <value>
            <val>3</val>
          </value>
        </values>
      </ddeItem>
      <ddeItem name="ai[124].H.EN" advise="1">
        <values>
          <value>
            <val>0</val>
          </value>
        </values>
      </ddeItem>
      <ddeItem name="ai[124].H.fix" advise="1">
        <values>
          <value>
            <val>0</val>
          </value>
        </values>
      </ddeItem>
      <ddeItem name="ai[124].H.V" advise="1">
        <values>
          <value>
            <val>0</val>
          </value>
        </values>
      </ddeItem>
      <ddeItem name="ai[124].HH.EN" advise="1">
        <values>
          <value>
            <val>0</val>
          </value>
        </values>
      </ddeItem>
      <ddeItem name="ai[124].HH.fix" advise="1">
        <values>
          <value>
            <val>0</val>
          </value>
        </values>
      </ddeItem>
      <ddeItem name="ai[124].HH.V" advise="1">
        <values>
          <value>
            <val>0</val>
          </value>
        </values>
      </ddeItem>
      <ddeItem name="ai[124].i" advise="1">
        <values>
          <value>
            <val>9.4223020000000002E-4</val>
          </value>
        </values>
      </ddeItem>
      <ddeItem name="ai[124].isCorrect" advise="1">
        <values>
          <value>
            <val>0</val>
          </value>
        </values>
      </ddeItem>
      <ddeItem name="ai[124].isCut" advise="1"/>
      <ddeItem name="ai[124].isForce" advise="1">
        <values>
          <value>
            <val>0</val>
          </value>
        </values>
      </ddeItem>
      <ddeItem name="ai[124].isInvScale" advise="1">
        <values>
          <value>
            <val>0</val>
          </value>
        </values>
      </ddeItem>
      <ddeItem name="ai[124].L.EN" advise="1">
        <values>
          <value>
            <val>0</val>
          </value>
        </values>
      </ddeItem>
      <ddeItem name="ai[124].L.fix" advise="1">
        <values>
          <value>
            <val>0</val>
          </value>
        </values>
      </ddeItem>
      <ddeItem name="ai[124].L.V" advise="1">
        <values>
          <value>
            <val>0</val>
          </value>
        </values>
      </ddeItem>
      <ddeItem name="ai[124].LL.EN" advise="1">
        <values>
          <value>
            <val>0</val>
          </value>
        </values>
      </ddeItem>
      <ddeItem name="ai[124].LL.fix" advise="1">
        <values>
          <value>
            <val>0</val>
          </value>
        </values>
      </ddeItem>
      <ddeItem name="ai[124].LL.V" advise="1">
        <values>
          <value>
            <val>0</val>
          </value>
        </values>
      </ddeItem>
      <ddeItem name="ai[124].RH.EN" advise="1">
        <values>
          <value>
            <val>1</val>
          </value>
        </values>
      </ddeItem>
      <ddeItem name="ai[124].RH.fix" advise="1">
        <values>
          <value>
            <val>0</val>
          </value>
        </values>
      </ddeItem>
      <ddeItem name="ai[124].RH.V" advise="1">
        <values>
          <value>
            <val>240</val>
          </value>
        </values>
      </ddeItem>
      <ddeItem name="ai[124].RL.EN" advise="1">
        <values>
          <value>
            <val>1</val>
          </value>
        </values>
      </ddeItem>
      <ddeItem name="ai[124].RL.fix" advise="1">
        <values>
          <value>
            <val>0</val>
          </value>
        </values>
      </ddeItem>
      <ddeItem name="ai[124].RL.V" advise="1">
        <values>
          <value>
            <val>0</val>
          </value>
        </values>
      </ddeItem>
      <ddeItem name="ai[124].state" advise="1">
        <values>
          <value>
            <val>4</val>
          </value>
        </values>
      </ddeItem>
      <ddeItem name="ai[124].v" advise="1">
        <values>
          <value>
            <val>0</val>
          </value>
        </values>
      </ddeItem>
      <ddeItem name="ai[124].vCorrect" advise="1"/>
      <ddeItem name="ai[124].vCut" advise="1"/>
      <ddeItem name="ai[124].vRaw" advise="1"/>
      <ddeItem name="ai[124].ZH" advise="1">
        <values>
          <value>
            <val>300</val>
          </value>
        </values>
      </ddeItem>
      <ddeItem name="ai[124].ZL" advise="1">
        <values>
          <value>
            <val>0</val>
          </value>
        </values>
      </ddeItem>
      <ddeItem name="ai[125].break.sgn" advise="1">
        <values>
          <value>
            <val>0</val>
          </value>
        </values>
      </ddeItem>
      <ddeItem name="ai[125].EN" advise="1">
        <values>
          <value>
            <val>0</val>
          </value>
        </values>
      </ddeItem>
      <ddeItem name="ai[125].group" advise="1">
        <values>
          <value>
            <val>0</val>
          </value>
        </values>
      </ddeItem>
      <ddeItem name="ai[125].H.EN" advise="1">
        <values>
          <value>
            <val>0</val>
          </value>
        </values>
      </ddeItem>
      <ddeItem name="ai[125].H.fix" advise="1">
        <values>
          <value>
            <val>0</val>
          </value>
        </values>
      </ddeItem>
      <ddeItem name="ai[125].H.V" advise="1">
        <values>
          <value>
            <val>0</val>
          </value>
        </values>
      </ddeItem>
      <ddeItem name="ai[125].HH.EN" advise="1">
        <values>
          <value>
            <val>0</val>
          </value>
        </values>
      </ddeItem>
      <ddeItem name="ai[125].HH.fix" advise="1">
        <values>
          <value>
            <val>0</val>
          </value>
        </values>
      </ddeItem>
      <ddeItem name="ai[125].HH.V" advise="1">
        <values>
          <value>
            <val>0</val>
          </value>
        </values>
      </ddeItem>
      <ddeItem name="ai[125].i" advise="1">
        <values>
          <value>
            <val>0</val>
          </value>
        </values>
      </ddeItem>
      <ddeItem name="ai[125].isCorrect" advise="1">
        <values>
          <value>
            <val>0</val>
          </value>
        </values>
      </ddeItem>
      <ddeItem name="ai[125].isCut" advise="1"/>
      <ddeItem name="ai[125].isForce" advise="1">
        <values>
          <value>
            <val>0</val>
          </value>
        </values>
      </ddeItem>
      <ddeItem name="ai[125].isInvScale" advise="1">
        <values>
          <value>
            <val>0</val>
          </value>
        </values>
      </ddeItem>
      <ddeItem name="ai[125].L.EN" advise="1">
        <values>
          <value>
            <val>0</val>
          </value>
        </values>
      </ddeItem>
      <ddeItem name="ai[125].L.fix" advise="1">
        <values>
          <value>
            <val>0</val>
          </value>
        </values>
      </ddeItem>
      <ddeItem name="ai[125].L.V" advise="1">
        <values>
          <value>
            <val>0</val>
          </value>
        </values>
      </ddeItem>
      <ddeItem name="ai[125].LL.EN" advise="1">
        <values>
          <value>
            <val>0</val>
          </value>
        </values>
      </ddeItem>
      <ddeItem name="ai[125].LL.fix" advise="1">
        <values>
          <value>
            <val>0</val>
          </value>
        </values>
      </ddeItem>
      <ddeItem name="ai[125].LL.V" advise="1">
        <values>
          <value>
            <val>0</val>
          </value>
        </values>
      </ddeItem>
      <ddeItem name="ai[125].RH.EN" advise="1">
        <values>
          <value>
            <val>0</val>
          </value>
        </values>
      </ddeItem>
      <ddeItem name="ai[125].RH.fix" advise="1">
        <values>
          <value>
            <val>0</val>
          </value>
        </values>
      </ddeItem>
      <ddeItem name="ai[125].RH.V" advise="1">
        <values>
          <value>
            <val>0</val>
          </value>
        </values>
      </ddeItem>
      <ddeItem name="ai[125].RL.EN" advise="1">
        <values>
          <value>
            <val>0</val>
          </value>
        </values>
      </ddeItem>
      <ddeItem name="ai[125].RL.fix" advise="1">
        <values>
          <value>
            <val>0</val>
          </value>
        </values>
      </ddeItem>
      <ddeItem name="ai[125].RL.V" advise="1">
        <values>
          <value>
            <val>0</val>
          </value>
        </values>
      </ddeItem>
      <ddeItem name="ai[125].state" advise="1">
        <values>
          <value>
            <val>4</val>
          </value>
        </values>
      </ddeItem>
      <ddeItem name="ai[125].v" advise="1">
        <values>
          <value>
            <val>0</val>
          </value>
        </values>
      </ddeItem>
      <ddeItem name="ai[125].vCorrect" advise="1"/>
      <ddeItem name="ai[125].vCut" advise="1"/>
      <ddeItem name="ai[125].vRaw" advise="1"/>
      <ddeItem name="ai[125].ZH" advise="1">
        <values>
          <value>
            <val>0</val>
          </value>
        </values>
      </ddeItem>
      <ddeItem name="ai[125].ZL" advise="1">
        <values>
          <value>
            <val>0</val>
          </value>
        </values>
      </ddeItem>
      <ddeItem name="ai[126].break.sgn" advise="1">
        <values>
          <value>
            <val>0</val>
          </value>
        </values>
      </ddeItem>
      <ddeItem name="ai[126].EN" advise="1">
        <values>
          <value>
            <val>0</val>
          </value>
        </values>
      </ddeItem>
      <ddeItem name="ai[126].group" advise="1">
        <values>
          <value>
            <val>0</val>
          </value>
        </values>
      </ddeItem>
      <ddeItem name="ai[126].H.EN" advise="1">
        <values>
          <value>
            <val>0</val>
          </value>
        </values>
      </ddeItem>
      <ddeItem name="ai[126].H.fix" advise="1">
        <values>
          <value>
            <val>0</val>
          </value>
        </values>
      </ddeItem>
      <ddeItem name="ai[126].H.V" advise="1">
        <values>
          <value>
            <val>0</val>
          </value>
        </values>
      </ddeItem>
      <ddeItem name="ai[126].HH.EN" advise="1">
        <values>
          <value>
            <val>0</val>
          </value>
        </values>
      </ddeItem>
      <ddeItem name="ai[126].HH.fix" advise="1">
        <values>
          <value>
            <val>0</val>
          </value>
        </values>
      </ddeItem>
      <ddeItem name="ai[126].HH.V" advise="1">
        <values>
          <value>
            <val>0</val>
          </value>
        </values>
      </ddeItem>
      <ddeItem name="ai[126].i" advise="1">
        <values>
          <value>
            <val>0</val>
          </value>
        </values>
      </ddeItem>
      <ddeItem name="ai[126].isCorrect" advise="1">
        <values>
          <value>
            <val>0</val>
          </value>
        </values>
      </ddeItem>
      <ddeItem name="ai[126].isCut" advise="1"/>
      <ddeItem name="ai[126].isForce" advise="1">
        <values>
          <value>
            <val>0</val>
          </value>
        </values>
      </ddeItem>
      <ddeItem name="ai[126].isInvScale" advise="1">
        <values>
          <value>
            <val>0</val>
          </value>
        </values>
      </ddeItem>
      <ddeItem name="ai[126].L.EN" advise="1">
        <values>
          <value>
            <val>0</val>
          </value>
        </values>
      </ddeItem>
      <ddeItem name="ai[126].L.fix" advise="1">
        <values>
          <value>
            <val>0</val>
          </value>
        </values>
      </ddeItem>
      <ddeItem name="ai[126].L.V" advise="1">
        <values>
          <value>
            <val>0</val>
          </value>
        </values>
      </ddeItem>
      <ddeItem name="ai[126].LL.EN" advise="1">
        <values>
          <value>
            <val>0</val>
          </value>
        </values>
      </ddeItem>
      <ddeItem name="ai[126].LL.fix" advise="1">
        <values>
          <value>
            <val>0</val>
          </value>
        </values>
      </ddeItem>
      <ddeItem name="ai[126].LL.V" advise="1">
        <values>
          <value>
            <val>0</val>
          </value>
        </values>
      </ddeItem>
      <ddeItem name="ai[126].RH.EN" advise="1">
        <values>
          <value>
            <val>0</val>
          </value>
        </values>
      </ddeItem>
      <ddeItem name="ai[126].RH.fix" advise="1">
        <values>
          <value>
            <val>0</val>
          </value>
        </values>
      </ddeItem>
      <ddeItem name="ai[126].RH.V" advise="1">
        <values>
          <value>
            <val>0</val>
          </value>
        </values>
      </ddeItem>
      <ddeItem name="ai[126].RL.EN" advise="1">
        <values>
          <value>
            <val>0</val>
          </value>
        </values>
      </ddeItem>
      <ddeItem name="ai[126].RL.fix" advise="1">
        <values>
          <value>
            <val>0</val>
          </value>
        </values>
      </ddeItem>
      <ddeItem name="ai[126].RL.V" advise="1">
        <values>
          <value>
            <val>0</val>
          </value>
        </values>
      </ddeItem>
      <ddeItem name="ai[126].state" advise="1">
        <values>
          <value>
            <val>4</val>
          </value>
        </values>
      </ddeItem>
      <ddeItem name="ai[126].v" advise="1">
        <values>
          <value>
            <val>0</val>
          </value>
        </values>
      </ddeItem>
      <ddeItem name="ai[126].vCorrect" advise="1"/>
      <ddeItem name="ai[126].vCut" advise="1"/>
      <ddeItem name="ai[126].vRaw" advise="1"/>
      <ddeItem name="ai[126].ZH" advise="1">
        <values>
          <value>
            <val>0</val>
          </value>
        </values>
      </ddeItem>
      <ddeItem name="ai[126].ZL" advise="1">
        <values>
          <value>
            <val>0</val>
          </value>
        </values>
      </ddeItem>
      <ddeItem name="ai[127].break.sgn" advise="1">
        <values>
          <value>
            <val>0</val>
          </value>
        </values>
      </ddeItem>
      <ddeItem name="ai[127].EN" advise="1">
        <values>
          <value>
            <val>0</val>
          </value>
        </values>
      </ddeItem>
      <ddeItem name="ai[127].group" advise="1">
        <values>
          <value>
            <val>0</val>
          </value>
        </values>
      </ddeItem>
      <ddeItem name="ai[127].H.EN" advise="1">
        <values>
          <value>
            <val>0</val>
          </value>
        </values>
      </ddeItem>
      <ddeItem name="ai[127].H.fix" advise="1">
        <values>
          <value>
            <val>0</val>
          </value>
        </values>
      </ddeItem>
      <ddeItem name="ai[127].H.V" advise="1">
        <values>
          <value>
            <val>0</val>
          </value>
        </values>
      </ddeItem>
      <ddeItem name="ai[127].HH.EN" advise="1">
        <values>
          <value>
            <val>0</val>
          </value>
        </values>
      </ddeItem>
      <ddeItem name="ai[127].HH.fix" advise="1">
        <values>
          <value>
            <val>0</val>
          </value>
        </values>
      </ddeItem>
      <ddeItem name="ai[127].HH.V" advise="1">
        <values>
          <value>
            <val>0</val>
          </value>
        </values>
      </ddeItem>
      <ddeItem name="ai[127].i" advise="1">
        <values>
          <value>
            <val>0</val>
          </value>
        </values>
      </ddeItem>
      <ddeItem name="ai[127].isCorrect" advise="1">
        <values>
          <value>
            <val>0</val>
          </value>
        </values>
      </ddeItem>
      <ddeItem name="ai[127].isCut" advise="1"/>
      <ddeItem name="ai[127].isForce" advise="1">
        <values>
          <value>
            <val>0</val>
          </value>
        </values>
      </ddeItem>
      <ddeItem name="ai[127].isInvScale" advise="1">
        <values>
          <value>
            <val>0</val>
          </value>
        </values>
      </ddeItem>
      <ddeItem name="ai[127].L.EN" advise="1">
        <values>
          <value>
            <val>0</val>
          </value>
        </values>
      </ddeItem>
      <ddeItem name="ai[127].L.fix" advise="1">
        <values>
          <value>
            <val>0</val>
          </value>
        </values>
      </ddeItem>
      <ddeItem name="ai[127].L.V" advise="1">
        <values>
          <value>
            <val>0</val>
          </value>
        </values>
      </ddeItem>
      <ddeItem name="ai[127].LL.EN" advise="1">
        <values>
          <value>
            <val>0</val>
          </value>
        </values>
      </ddeItem>
      <ddeItem name="ai[127].LL.fix" advise="1">
        <values>
          <value>
            <val>0</val>
          </value>
        </values>
      </ddeItem>
      <ddeItem name="ai[127].LL.V" advise="1">
        <values>
          <value>
            <val>0</val>
          </value>
        </values>
      </ddeItem>
      <ddeItem name="ai[127].RH.EN" advise="1">
        <values>
          <value>
            <val>0</val>
          </value>
        </values>
      </ddeItem>
      <ddeItem name="ai[127].RH.fix" advise="1">
        <values>
          <value>
            <val>0</val>
          </value>
        </values>
      </ddeItem>
      <ddeItem name="ai[127].RH.V" advise="1">
        <values>
          <value>
            <val>0</val>
          </value>
        </values>
      </ddeItem>
      <ddeItem name="ai[127].RL.EN" advise="1">
        <values>
          <value>
            <val>0</val>
          </value>
        </values>
      </ddeItem>
      <ddeItem name="ai[127].RL.fix" advise="1">
        <values>
          <value>
            <val>0</val>
          </value>
        </values>
      </ddeItem>
      <ddeItem name="ai[127].RL.V" advise="1">
        <values>
          <value>
            <val>0</val>
          </value>
        </values>
      </ddeItem>
      <ddeItem name="ai[127].state" advise="1">
        <values>
          <value>
            <val>4</val>
          </value>
        </values>
      </ddeItem>
      <ddeItem name="ai[127].v" advise="1">
        <values>
          <value>
            <val>0</val>
          </value>
        </values>
      </ddeItem>
      <ddeItem name="ai[127].vCorrect" advise="1"/>
      <ddeItem name="ai[127].vCut" advise="1"/>
      <ddeItem name="ai[127].vRaw" advise="1"/>
      <ddeItem name="ai[127].ZH" advise="1">
        <values>
          <value>
            <val>0</val>
          </value>
        </values>
      </ddeItem>
      <ddeItem name="ai[127].ZL" advise="1">
        <values>
          <value>
            <val>0</val>
          </value>
        </values>
      </ddeItem>
      <ddeItem name="ai[128].break.sgn" advise="1">
        <values>
          <value>
            <val>1</val>
          </value>
        </values>
      </ddeItem>
      <ddeItem name="ai[128].EN" advise="1">
        <values>
          <value>
            <val>1</val>
          </value>
        </values>
      </ddeItem>
      <ddeItem name="ai[128].group" advise="1">
        <values>
          <value>
            <val>3</val>
          </value>
        </values>
      </ddeItem>
      <ddeItem name="ai[128].H.EN" advise="1">
        <values>
          <value>
            <val>0</val>
          </value>
        </values>
      </ddeItem>
      <ddeItem name="ai[128].H.fix" advise="1">
        <values>
          <value>
            <val>0</val>
          </value>
        </values>
      </ddeItem>
      <ddeItem name="ai[128].H.V" advise="1">
        <values>
          <value>
            <val>0</val>
          </value>
        </values>
      </ddeItem>
      <ddeItem name="ai[128].HH.EN" advise="1">
        <values>
          <value>
            <val>0</val>
          </value>
        </values>
      </ddeItem>
      <ddeItem name="ai[128].HH.fix" advise="1">
        <values>
          <value>
            <val>0</val>
          </value>
        </values>
      </ddeItem>
      <ddeItem name="ai[128].HH.V" advise="1">
        <values>
          <value>
            <val>0</val>
          </value>
        </values>
      </ddeItem>
      <ddeItem name="ai[128].i" advise="1">
        <values>
          <value>
            <val>3.4551619999999999E-3</val>
          </value>
        </values>
      </ddeItem>
      <ddeItem name="ai[128].isCorrect" advise="1">
        <values>
          <value>
            <val>0</val>
          </value>
        </values>
      </ddeItem>
      <ddeItem name="ai[128].isCut" advise="1"/>
      <ddeItem name="ai[128].isForce" advise="1">
        <values>
          <value>
            <val>0</val>
          </value>
        </values>
      </ddeItem>
      <ddeItem name="ai[128].isInvScale" advise="1">
        <values>
          <value>
            <val>0</val>
          </value>
        </values>
      </ddeItem>
      <ddeItem name="ai[128].L.EN" advise="1">
        <values>
          <value>
            <val>0</val>
          </value>
        </values>
      </ddeItem>
      <ddeItem name="ai[128].L.fix" advise="1">
        <values>
          <value>
            <val>0</val>
          </value>
        </values>
      </ddeItem>
      <ddeItem name="ai[128].L.V" advise="1">
        <values>
          <value>
            <val>0</val>
          </value>
        </values>
      </ddeItem>
      <ddeItem name="ai[128].LL.EN" advise="1">
        <values>
          <value>
            <val>0</val>
          </value>
        </values>
      </ddeItem>
      <ddeItem name="ai[128].LL.fix" advise="1">
        <values>
          <value>
            <val>0</val>
          </value>
        </values>
      </ddeItem>
      <ddeItem name="ai[128].LL.V" advise="1">
        <values>
          <value>
            <val>0</val>
          </value>
        </values>
      </ddeItem>
      <ddeItem name="ai[128].RH.EN" advise="1">
        <values>
          <value>
            <val>1</val>
          </value>
        </values>
      </ddeItem>
      <ddeItem name="ai[128].RH.fix" advise="1">
        <values>
          <value>
            <val>0</val>
          </value>
        </values>
      </ddeItem>
      <ddeItem name="ai[128].RH.V" advise="1">
        <values>
          <value>
            <val>280</val>
          </value>
        </values>
      </ddeItem>
      <ddeItem name="ai[128].RL.EN" advise="1">
        <values>
          <value>
            <val>1</val>
          </value>
        </values>
      </ddeItem>
      <ddeItem name="ai[128].RL.fix" advise="1">
        <values>
          <value>
            <val>0</val>
          </value>
        </values>
      </ddeItem>
      <ddeItem name="ai[128].RL.V" advise="1">
        <values>
          <value>
            <val>130</val>
          </value>
        </values>
      </ddeItem>
      <ddeItem name="ai[128].state" advise="1">
        <values>
          <value>
            <val>4</val>
          </value>
        </values>
      </ddeItem>
      <ddeItem name="ai[128].v" advise="1">
        <values>
          <value>
            <val>0</val>
          </value>
        </values>
      </ddeItem>
      <ddeItem name="ai[128].vCorrect" advise="1"/>
      <ddeItem name="ai[128].vCut" advise="1"/>
      <ddeItem name="ai[128].vRaw" advise="1"/>
      <ddeItem name="ai[128].ZH" advise="1">
        <values>
          <value>
            <val>300</val>
          </value>
        </values>
      </ddeItem>
      <ddeItem name="ai[128].ZL" advise="1">
        <values>
          <value>
            <val>0</val>
          </value>
        </values>
      </ddeItem>
      <ddeItem name="ai[129].break.sgn" advise="1">
        <values>
          <value>
            <val>1</val>
          </value>
        </values>
      </ddeItem>
      <ddeItem name="ai[129].EN" advise="1">
        <values>
          <value>
            <val>1</val>
          </value>
        </values>
      </ddeItem>
      <ddeItem name="ai[129].group" advise="1">
        <values>
          <value>
            <val>3</val>
          </value>
        </values>
      </ddeItem>
      <ddeItem name="ai[129].H.EN" advise="1">
        <values>
          <value>
            <val>0</val>
          </value>
        </values>
      </ddeItem>
      <ddeItem name="ai[129].H.fix" advise="1">
        <values>
          <value>
            <val>0</val>
          </value>
        </values>
      </ddeItem>
      <ddeItem name="ai[129].H.V" advise="1">
        <values>
          <value>
            <val>0</val>
          </value>
        </values>
      </ddeItem>
      <ddeItem name="ai[129].HH.EN" advise="1">
        <values>
          <value>
            <val>0</val>
          </value>
        </values>
      </ddeItem>
      <ddeItem name="ai[129].HH.fix" advise="1">
        <values>
          <value>
            <val>0</val>
          </value>
        </values>
      </ddeItem>
      <ddeItem name="ai[129].HH.V" advise="1">
        <values>
          <value>
            <val>0</val>
          </value>
        </values>
      </ddeItem>
      <ddeItem name="ai[129].i" advise="1">
        <values>
          <value>
            <val>3.7689210000000002E-3</val>
          </value>
        </values>
      </ddeItem>
      <ddeItem name="ai[129].isCorrect" advise="1">
        <values>
          <value>
            <val>0</val>
          </value>
        </values>
      </ddeItem>
      <ddeItem name="ai[129].isCut" advise="1"/>
      <ddeItem name="ai[129].isForce" advise="1">
        <values>
          <value>
            <val>0</val>
          </value>
        </values>
      </ddeItem>
      <ddeItem name="ai[129].isInvScale" advise="1">
        <values>
          <value>
            <val>0</val>
          </value>
        </values>
      </ddeItem>
      <ddeItem name="ai[129].L.EN" advise="1">
        <values>
          <value>
            <val>0</val>
          </value>
        </values>
      </ddeItem>
      <ddeItem name="ai[129].L.fix" advise="1">
        <values>
          <value>
            <val>0</val>
          </value>
        </values>
      </ddeItem>
      <ddeItem name="ai[129].L.V" advise="1">
        <values>
          <value>
            <val>0</val>
          </value>
        </values>
      </ddeItem>
      <ddeItem name="ai[129].LL.EN" advise="1">
        <values>
          <value>
            <val>0</val>
          </value>
        </values>
      </ddeItem>
      <ddeItem name="ai[129].LL.fix" advise="1">
        <values>
          <value>
            <val>0</val>
          </value>
        </values>
      </ddeItem>
      <ddeItem name="ai[129].LL.V" advise="1">
        <values>
          <value>
            <val>0</val>
          </value>
        </values>
      </ddeItem>
      <ddeItem name="ai[129].RH.EN" advise="1">
        <values>
          <value>
            <val>1</val>
          </value>
        </values>
      </ddeItem>
      <ddeItem name="ai[129].RH.fix" advise="1">
        <values>
          <value>
            <val>0</val>
          </value>
        </values>
      </ddeItem>
      <ddeItem name="ai[129].RH.V" advise="1">
        <values>
          <value>
            <val>270</val>
          </value>
        </values>
      </ddeItem>
      <ddeItem name="ai[129].RL.EN" advise="1">
        <values>
          <value>
            <val>1</val>
          </value>
        </values>
      </ddeItem>
      <ddeItem name="ai[129].RL.fix" advise="1">
        <values>
          <value>
            <val>0</val>
          </value>
        </values>
      </ddeItem>
      <ddeItem name="ai[129].RL.V" advise="1">
        <values>
          <value>
            <val>130</val>
          </value>
        </values>
      </ddeItem>
      <ddeItem name="ai[129].state" advise="1">
        <values>
          <value>
            <val>4</val>
          </value>
        </values>
      </ddeItem>
      <ddeItem name="ai[129].v" advise="1">
        <values>
          <value>
            <val>0</val>
          </value>
        </values>
      </ddeItem>
      <ddeItem name="ai[129].vCorrect" advise="1"/>
      <ddeItem name="ai[129].vCut" advise="1"/>
      <ddeItem name="ai[129].vRaw" advise="1"/>
      <ddeItem name="ai[129].ZH" advise="1">
        <values>
          <value>
            <val>300</val>
          </value>
        </values>
      </ddeItem>
      <ddeItem name="ai[129].ZL" advise="1">
        <values>
          <value>
            <val>0</val>
          </value>
        </values>
      </ddeItem>
      <ddeItem name="AI[13].break.sgn" advise="1">
        <values>
          <value>
            <val>1</val>
          </value>
        </values>
      </ddeItem>
      <ddeItem name="AI[13].EN" advise="1">
        <values>
          <value>
            <val>1</val>
          </value>
        </values>
      </ddeItem>
      <ddeItem name="AI[13].group" advise="1">
        <values>
          <value>
            <val>1</val>
          </value>
        </values>
      </ddeItem>
      <ddeItem name="AI[13].H.EN" advise="1">
        <values>
          <value>
            <val>0</val>
          </value>
        </values>
      </ddeItem>
      <ddeItem name="AI[13].H.fix" advise="1">
        <values>
          <value>
            <val>0</val>
          </value>
        </values>
      </ddeItem>
      <ddeItem name="AI[13].H.V" advise="1">
        <values>
          <value>
            <val>0</val>
          </value>
        </values>
      </ddeItem>
      <ddeItem name="AI[13].HH.EN" advise="1">
        <values>
          <value>
            <val>0</val>
          </value>
        </values>
      </ddeItem>
      <ddeItem name="AI[13].HH.fix" advise="1">
        <values>
          <value>
            <val>0</val>
          </value>
        </values>
      </ddeItem>
      <ddeItem name="AI[13].HH.V" advise="1">
        <values>
          <value>
            <val>0</val>
          </value>
        </values>
      </ddeItem>
      <ddeItem name="AI[13].i" advise="1">
        <values>
          <value>
            <val>3.1404499999999999E-3</val>
          </value>
        </values>
      </ddeItem>
      <ddeItem name="AI[13].isCorrect" advise="1">
        <values>
          <value>
            <val>0</val>
          </value>
        </values>
      </ddeItem>
      <ddeItem name="AI[13].isCut" advise="1"/>
      <ddeItem name="AI[13].isForce" advise="1">
        <values>
          <value>
            <val>0</val>
          </value>
        </values>
      </ddeItem>
      <ddeItem name="AI[13].isInvScale" advise="1">
        <values>
          <value>
            <val>0</val>
          </value>
        </values>
      </ddeItem>
      <ddeItem name="AI[13].L.EN" advise="1">
        <values>
          <value>
            <val>0</val>
          </value>
        </values>
      </ddeItem>
      <ddeItem name="AI[13].L.fix" advise="1">
        <values>
          <value>
            <val>0</val>
          </value>
        </values>
      </ddeItem>
      <ddeItem name="AI[13].L.V" advise="1">
        <values>
          <value>
            <val>1</val>
          </value>
        </values>
      </ddeItem>
      <ddeItem name="AI[13].LL.EN" advise="1">
        <values>
          <value>
            <val>0</val>
          </value>
        </values>
      </ddeItem>
      <ddeItem name="AI[13].LL.fix" advise="1">
        <values>
          <value>
            <val>0</val>
          </value>
        </values>
      </ddeItem>
      <ddeItem name="AI[13].LL.V" advise="1">
        <values>
          <value>
            <val>0</val>
          </value>
        </values>
      </ddeItem>
      <ddeItem name="AI[13].RH.EN" advise="1">
        <values>
          <value>
            <val>1</val>
          </value>
        </values>
      </ddeItem>
      <ddeItem name="AI[13].RH.fix" advise="1">
        <values>
          <value>
            <val>0</val>
          </value>
        </values>
      </ddeItem>
      <ddeItem name="AI[13].RH.V" advise="1">
        <values>
          <value>
            <val>1.05</val>
          </value>
        </values>
      </ddeItem>
      <ddeItem name="AI[13].RL.EN" advise="1">
        <values>
          <value>
            <val>1</val>
          </value>
        </values>
      </ddeItem>
      <ddeItem name="AI[13].RL.fix" advise="1">
        <values>
          <value>
            <val>0</val>
          </value>
        </values>
      </ddeItem>
      <ddeItem name="AI[13].RL.V" advise="1">
        <values>
          <value>
            <val>0.95</val>
          </value>
        </values>
      </ddeItem>
      <ddeItem name="AI[13].state" advise="1">
        <values>
          <value>
            <val>4</val>
          </value>
        </values>
      </ddeItem>
      <ddeItem name="AI[13].v" advise="1">
        <values>
          <value>
            <val>0</val>
          </value>
        </values>
      </ddeItem>
      <ddeItem name="AI[13].vCorrect" advise="1"/>
      <ddeItem name="AI[13].vCut" advise="1"/>
      <ddeItem name="AI[13].vRaw" advise="1"/>
      <ddeItem name="AI[13].ZH" advise="1">
        <values>
          <value>
            <val>2</val>
          </value>
        </values>
      </ddeItem>
      <ddeItem name="AI[13].ZL" advise="1">
        <values>
          <value>
            <val>0</val>
          </value>
        </values>
      </ddeItem>
      <ddeItem name="ai[130].break.sgn" advise="1">
        <values>
          <value>
            <val>1</val>
          </value>
        </values>
      </ddeItem>
      <ddeItem name="ai[130].EN" advise="1">
        <values>
          <value>
            <val>1</val>
          </value>
        </values>
      </ddeItem>
      <ddeItem name="ai[130].group" advise="1">
        <values>
          <value>
            <val>3</val>
          </value>
        </values>
      </ddeItem>
      <ddeItem name="ai[130].H.EN" advise="1">
        <values>
          <value>
            <val>0</val>
          </value>
        </values>
      </ddeItem>
      <ddeItem name="ai[130].H.fix" advise="1">
        <values>
          <value>
            <val>0</val>
          </value>
        </values>
      </ddeItem>
      <ddeItem name="ai[130].H.V" advise="1">
        <values>
          <value>
            <val>0</val>
          </value>
        </values>
      </ddeItem>
      <ddeItem name="ai[130].HH.EN" advise="1">
        <values>
          <value>
            <val>0</val>
          </value>
        </values>
      </ddeItem>
      <ddeItem name="ai[130].HH.fix" advise="1">
        <values>
          <value>
            <val>0</val>
          </value>
        </values>
      </ddeItem>
      <ddeItem name="ai[130].HH.V" advise="1">
        <values>
          <value>
            <val>0</val>
          </value>
        </values>
      </ddeItem>
      <ddeItem name="ai[130].i" advise="1">
        <values>
          <value>
            <val>3.7689210000000002E-3</val>
          </value>
        </values>
      </ddeItem>
      <ddeItem name="ai[130].isCorrect" advise="1">
        <values>
          <value>
            <val>0</val>
          </value>
        </values>
      </ddeItem>
      <ddeItem name="ai[130].isCut" advise="1"/>
      <ddeItem name="ai[130].isForce" advise="1">
        <values>
          <value>
            <val>0</val>
          </value>
        </values>
      </ddeItem>
      <ddeItem name="ai[130].isInvScale" advise="1">
        <values>
          <value>
            <val>0</val>
          </value>
        </values>
      </ddeItem>
      <ddeItem name="ai[130].L.EN" advise="1">
        <values>
          <value>
            <val>0</val>
          </value>
        </values>
      </ddeItem>
      <ddeItem name="ai[130].L.fix" advise="1">
        <values>
          <value>
            <val>0</val>
          </value>
        </values>
      </ddeItem>
      <ddeItem name="ai[130].L.V" advise="1">
        <values>
          <value>
            <val>0</val>
          </value>
        </values>
      </ddeItem>
      <ddeItem name="ai[130].LL.EN" advise="1">
        <values>
          <value>
            <val>0</val>
          </value>
        </values>
      </ddeItem>
      <ddeItem name="ai[130].LL.fix" advise="1">
        <values>
          <value>
            <val>0</val>
          </value>
        </values>
      </ddeItem>
      <ddeItem name="ai[130].LL.V" advise="1">
        <values>
          <value>
            <val>0</val>
          </value>
        </values>
      </ddeItem>
      <ddeItem name="ai[130].RH.EN" advise="1">
        <values>
          <value>
            <val>1</val>
          </value>
        </values>
      </ddeItem>
      <ddeItem name="ai[130].RH.fix" advise="1">
        <values>
          <value>
            <val>0</val>
          </value>
        </values>
      </ddeItem>
      <ddeItem name="ai[130].RH.V" advise="1">
        <values>
          <value>
            <val>270</val>
          </value>
        </values>
      </ddeItem>
      <ddeItem name="ai[130].RL.EN" advise="1">
        <values>
          <value>
            <val>1</val>
          </value>
        </values>
      </ddeItem>
      <ddeItem name="ai[130].RL.fix" advise="1">
        <values>
          <value>
            <val>0</val>
          </value>
        </values>
      </ddeItem>
      <ddeItem name="ai[130].RL.V" advise="1">
        <values>
          <value>
            <val>130</val>
          </value>
        </values>
      </ddeItem>
      <ddeItem name="ai[130].state" advise="1">
        <values>
          <value>
            <val>4</val>
          </value>
        </values>
      </ddeItem>
      <ddeItem name="ai[130].v" advise="1">
        <values>
          <value>
            <val>0</val>
          </value>
        </values>
      </ddeItem>
      <ddeItem name="ai[130].vCorrect" advise="1"/>
      <ddeItem name="ai[130].vCut" advise="1"/>
      <ddeItem name="ai[130].vRaw" advise="1"/>
      <ddeItem name="ai[130].ZH" advise="1">
        <values>
          <value>
            <val>300</val>
          </value>
        </values>
      </ddeItem>
      <ddeItem name="ai[130].ZL" advise="1">
        <values>
          <value>
            <val>0</val>
          </value>
        </values>
      </ddeItem>
      <ddeItem name="ai[131].break.sgn" advise="1">
        <values>
          <value>
            <val>1</val>
          </value>
        </values>
      </ddeItem>
      <ddeItem name="ai[131].EN" advise="1">
        <values>
          <value>
            <val>1</val>
          </value>
        </values>
      </ddeItem>
      <ddeItem name="ai[131].group" advise="1">
        <values>
          <value>
            <val>3</val>
          </value>
        </values>
      </ddeItem>
      <ddeItem name="ai[131].H.EN" advise="1">
        <values>
          <value>
            <val>0</val>
          </value>
        </values>
      </ddeItem>
      <ddeItem name="ai[131].H.fix" advise="1">
        <values>
          <value>
            <val>0</val>
          </value>
        </values>
      </ddeItem>
      <ddeItem name="ai[131].H.V" advise="1">
        <values>
          <value>
            <val>0</val>
          </value>
        </values>
      </ddeItem>
      <ddeItem name="ai[131].HH.EN" advise="1">
        <values>
          <value>
            <val>0</val>
          </value>
        </values>
      </ddeItem>
      <ddeItem name="ai[131].HH.fix" advise="1">
        <values>
          <value>
            <val>0</val>
          </value>
        </values>
      </ddeItem>
      <ddeItem name="ai[131].HH.V" advise="1">
        <values>
          <value>
            <val>0</val>
          </value>
        </values>
      </ddeItem>
      <ddeItem name="ai[131].i" advise="1">
        <values>
          <value>
            <val>3.7689210000000002E-3</val>
          </value>
        </values>
      </ddeItem>
      <ddeItem name="ai[131].isCorrect" advise="1">
        <values>
          <value>
            <val>0</val>
          </value>
        </values>
      </ddeItem>
      <ddeItem name="ai[131].isCut" advise="1"/>
      <ddeItem name="ai[131].isForce" advise="1">
        <values>
          <value>
            <val>0</val>
          </value>
        </values>
      </ddeItem>
      <ddeItem name="ai[131].isInvScale" advise="1">
        <values>
          <value>
            <val>0</val>
          </value>
        </values>
      </ddeItem>
      <ddeItem name="ai[131].L.EN" advise="1">
        <values>
          <value>
            <val>0</val>
          </value>
        </values>
      </ddeItem>
      <ddeItem name="ai[131].L.fix" advise="1">
        <values>
          <value>
            <val>0</val>
          </value>
        </values>
      </ddeItem>
      <ddeItem name="ai[131].L.V" advise="1">
        <values>
          <value>
            <val>0</val>
          </value>
        </values>
      </ddeItem>
      <ddeItem name="ai[131].LL.EN" advise="1">
        <values>
          <value>
            <val>0</val>
          </value>
        </values>
      </ddeItem>
      <ddeItem name="ai[131].LL.fix" advise="1">
        <values>
          <value>
            <val>0</val>
          </value>
        </values>
      </ddeItem>
      <ddeItem name="ai[131].LL.V" advise="1">
        <values>
          <value>
            <val>0</val>
          </value>
        </values>
      </ddeItem>
      <ddeItem name="ai[131].RH.EN" advise="1">
        <values>
          <value>
            <val>1</val>
          </value>
        </values>
      </ddeItem>
      <ddeItem name="ai[131].RH.fix" advise="1">
        <values>
          <value>
            <val>0</val>
          </value>
        </values>
      </ddeItem>
      <ddeItem name="ai[131].RH.V" advise="1">
        <values>
          <value>
            <val>160</val>
          </value>
        </values>
      </ddeItem>
      <ddeItem name="ai[131].RL.EN" advise="1">
        <values>
          <value>
            <val>1</val>
          </value>
        </values>
      </ddeItem>
      <ddeItem name="ai[131].RL.fix" advise="1">
        <values>
          <value>
            <val>0</val>
          </value>
        </values>
      </ddeItem>
      <ddeItem name="ai[131].RL.V" advise="1">
        <values>
          <value>
            <val>40</val>
          </value>
        </values>
      </ddeItem>
      <ddeItem name="ai[131].state" advise="1">
        <values>
          <value>
            <val>4</val>
          </value>
        </values>
      </ddeItem>
      <ddeItem name="ai[131].v" advise="1">
        <values>
          <value>
            <val>0</val>
          </value>
        </values>
      </ddeItem>
      <ddeItem name="ai[131].vCorrect" advise="1"/>
      <ddeItem name="ai[131].vCut" advise="1"/>
      <ddeItem name="ai[131].vRaw" advise="1"/>
      <ddeItem name="ai[131].ZH" advise="1">
        <values>
          <value>
            <val>300</val>
          </value>
        </values>
      </ddeItem>
      <ddeItem name="ai[131].ZL" advise="1">
        <values>
          <value>
            <val>0</val>
          </value>
        </values>
      </ddeItem>
      <ddeItem name="ai[132].break.sgn" advise="1">
        <values>
          <value>
            <val>1</val>
          </value>
        </values>
      </ddeItem>
      <ddeItem name="ai[132].EN" advise="1">
        <values>
          <value>
            <val>1</val>
          </value>
        </values>
      </ddeItem>
      <ddeItem name="ai[132].group" advise="1">
        <values>
          <value>
            <val>3</val>
          </value>
        </values>
      </ddeItem>
      <ddeItem name="ai[132].H.EN" advise="1">
        <values>
          <value>
            <val>0</val>
          </value>
        </values>
      </ddeItem>
      <ddeItem name="ai[132].H.fix" advise="1">
        <values>
          <value>
            <val>0</val>
          </value>
        </values>
      </ddeItem>
      <ddeItem name="ai[132].H.V" advise="1">
        <values>
          <value>
            <val>0</val>
          </value>
        </values>
      </ddeItem>
      <ddeItem name="ai[132].HH.EN" advise="1">
        <values>
          <value>
            <val>0</val>
          </value>
        </values>
      </ddeItem>
      <ddeItem name="ai[132].HH.fix" advise="1">
        <values>
          <value>
            <val>0</val>
          </value>
        </values>
      </ddeItem>
      <ddeItem name="ai[132].HH.V" advise="1">
        <values>
          <value>
            <val>0</val>
          </value>
        </values>
      </ddeItem>
      <ddeItem name="ai[132].i" advise="1">
        <values>
          <value>
            <val>2.5129319999999998E-3</val>
          </value>
        </values>
      </ddeItem>
      <ddeItem name="ai[132].isCorrect" advise="1">
        <values>
          <value>
            <val>0</val>
          </value>
        </values>
      </ddeItem>
      <ddeItem name="ai[132].isCut" advise="1"/>
      <ddeItem name="ai[132].isForce" advise="1">
        <values>
          <value>
            <val>0</val>
          </value>
        </values>
      </ddeItem>
      <ddeItem name="ai[132].isInvScale" advise="1">
        <values>
          <value>
            <val>0</val>
          </value>
        </values>
      </ddeItem>
      <ddeItem name="ai[132].L.EN" advise="1">
        <values>
          <value>
            <val>0</val>
          </value>
        </values>
      </ddeItem>
      <ddeItem name="ai[132].L.fix" advise="1">
        <values>
          <value>
            <val>0</val>
          </value>
        </values>
      </ddeItem>
      <ddeItem name="ai[132].L.V" advise="1">
        <values>
          <value>
            <val>0</val>
          </value>
        </values>
      </ddeItem>
      <ddeItem name="ai[132].LL.EN" advise="1">
        <values>
          <value>
            <val>0</val>
          </value>
        </values>
      </ddeItem>
      <ddeItem name="ai[132].LL.fix" advise="1">
        <values>
          <value>
            <val>0</val>
          </value>
        </values>
      </ddeItem>
      <ddeItem name="ai[132].LL.V" advise="1">
        <values>
          <value>
            <val>0</val>
          </value>
        </values>
      </ddeItem>
      <ddeItem name="ai[132].RH.EN" advise="1">
        <values>
          <value>
            <val>1</val>
          </value>
        </values>
      </ddeItem>
      <ddeItem name="ai[132].RH.fix" advise="1">
        <values>
          <value>
            <val>0</val>
          </value>
        </values>
      </ddeItem>
      <ddeItem name="ai[132].RH.V" advise="1">
        <values>
          <value>
            <val>160</val>
          </value>
        </values>
      </ddeItem>
      <ddeItem name="ai[132].RL.EN" advise="1">
        <values>
          <value>
            <val>1</val>
          </value>
        </values>
      </ddeItem>
      <ddeItem name="ai[132].RL.fix" advise="1">
        <values>
          <value>
            <val>0</val>
          </value>
        </values>
      </ddeItem>
      <ddeItem name="ai[132].RL.V" advise="1">
        <values>
          <value>
            <val>40</val>
          </value>
        </values>
      </ddeItem>
      <ddeItem name="ai[132].state" advise="1">
        <values>
          <value>
            <val>4</val>
          </value>
        </values>
      </ddeItem>
      <ddeItem name="ai[132].v" advise="1">
        <values>
          <value>
            <val>0</val>
          </value>
        </values>
      </ddeItem>
      <ddeItem name="ai[132].vCorrect" advise="1"/>
      <ddeItem name="ai[132].vCut" advise="1"/>
      <ddeItem name="ai[132].vRaw" advise="1"/>
      <ddeItem name="ai[132].ZH" advise="1">
        <values>
          <value>
            <val>300</val>
          </value>
        </values>
      </ddeItem>
      <ddeItem name="ai[132].ZL" advise="1">
        <values>
          <value>
            <val>0</val>
          </value>
        </values>
      </ddeItem>
      <ddeItem name="ai[133].break.sgn" advise="1">
        <values>
          <value>
            <val>1</val>
          </value>
        </values>
      </ddeItem>
      <ddeItem name="ai[133].EN" advise="1">
        <values>
          <value>
            <val>1</val>
          </value>
        </values>
      </ddeItem>
      <ddeItem name="ai[133].group" advise="1">
        <values>
          <value>
            <val>3</val>
          </value>
        </values>
      </ddeItem>
      <ddeItem name="ai[133].H.EN" advise="1">
        <values>
          <value>
            <val>0</val>
          </value>
        </values>
      </ddeItem>
      <ddeItem name="ai[133].H.fix" advise="1">
        <values>
          <value>
            <val>0</val>
          </value>
        </values>
      </ddeItem>
      <ddeItem name="ai[133].H.V" advise="1">
        <values>
          <value>
            <val>0</val>
          </value>
        </values>
      </ddeItem>
      <ddeItem name="ai[133].HH.EN" advise="1">
        <values>
          <value>
            <val>0</val>
          </value>
        </values>
      </ddeItem>
      <ddeItem name="ai[133].HH.fix" advise="1">
        <values>
          <value>
            <val>0</val>
          </value>
        </values>
      </ddeItem>
      <ddeItem name="ai[133].HH.V" advise="1">
        <values>
          <value>
            <val>0</val>
          </value>
        </values>
      </ddeItem>
      <ddeItem name="ai[133].i" advise="1">
        <values>
          <value>
            <val>2.8266910000000001E-3</val>
          </value>
        </values>
      </ddeItem>
      <ddeItem name="ai[133].isCorrect" advise="1">
        <values>
          <value>
            <val>0</val>
          </value>
        </values>
      </ddeItem>
      <ddeItem name="ai[133].isCut" advise="1"/>
      <ddeItem name="ai[133].isForce" advise="1">
        <values>
          <value>
            <val>0</val>
          </value>
        </values>
      </ddeItem>
      <ddeItem name="ai[133].isInvScale" advise="1">
        <values>
          <value>
            <val>0</val>
          </value>
        </values>
      </ddeItem>
      <ddeItem name="ai[133].L.EN" advise="1">
        <values>
          <value>
            <val>0</val>
          </value>
        </values>
      </ddeItem>
      <ddeItem name="ai[133].L.fix" advise="1">
        <values>
          <value>
            <val>0</val>
          </value>
        </values>
      </ddeItem>
      <ddeItem name="ai[133].L.V" advise="1">
        <values>
          <value>
            <val>0</val>
          </value>
        </values>
      </ddeItem>
      <ddeItem name="ai[133].LL.EN" advise="1">
        <values>
          <value>
            <val>0</val>
          </value>
        </values>
      </ddeItem>
      <ddeItem name="ai[133].LL.fix" advise="1">
        <values>
          <value>
            <val>0</val>
          </value>
        </values>
      </ddeItem>
      <ddeItem name="ai[133].LL.V" advise="1">
        <values>
          <value>
            <val>0</val>
          </value>
        </values>
      </ddeItem>
      <ddeItem name="ai[133].RH.EN" advise="1">
        <values>
          <value>
            <val>1</val>
          </value>
        </values>
      </ddeItem>
      <ddeItem name="ai[133].RH.fix" advise="1">
        <values>
          <value>
            <val>0</val>
          </value>
        </values>
      </ddeItem>
      <ddeItem name="ai[133].RH.V" advise="1">
        <values>
          <value>
            <val>160</val>
          </value>
        </values>
      </ddeItem>
      <ddeItem name="ai[133].RL.EN" advise="1">
        <values>
          <value>
            <val>1</val>
          </value>
        </values>
      </ddeItem>
      <ddeItem name="ai[133].RL.fix" advise="1">
        <values>
          <value>
            <val>0</val>
          </value>
        </values>
      </ddeItem>
      <ddeItem name="ai[133].RL.V" advise="1">
        <values>
          <value>
            <val>40</val>
          </value>
        </values>
      </ddeItem>
      <ddeItem name="ai[133].state" advise="1">
        <values>
          <value>
            <val>4</val>
          </value>
        </values>
      </ddeItem>
      <ddeItem name="ai[133].v" advise="1">
        <values>
          <value>
            <val>0</val>
          </value>
        </values>
      </ddeItem>
      <ddeItem name="ai[133].vCorrect" advise="1"/>
      <ddeItem name="ai[133].vCut" advise="1"/>
      <ddeItem name="ai[133].vRaw" advise="1"/>
      <ddeItem name="ai[133].ZH" advise="1">
        <values>
          <value>
            <val>300</val>
          </value>
        </values>
      </ddeItem>
      <ddeItem name="ai[133].ZL" advise="1">
        <values>
          <value>
            <val>0</val>
          </value>
        </values>
      </ddeItem>
      <ddeItem name="ai[134].break.sgn" advise="1">
        <values>
          <value>
            <val>1</val>
          </value>
        </values>
      </ddeItem>
      <ddeItem name="ai[134].EN" advise="1">
        <values>
          <value>
            <val>1</val>
          </value>
        </values>
      </ddeItem>
      <ddeItem name="ai[134].group" advise="1">
        <values>
          <value>
            <val>3</val>
          </value>
        </values>
      </ddeItem>
      <ddeItem name="ai[134].H.EN" advise="1">
        <values>
          <value>
            <val>0</val>
          </value>
        </values>
      </ddeItem>
      <ddeItem name="ai[134].H.fix" advise="1">
        <values>
          <value>
            <val>0</val>
          </value>
        </values>
      </ddeItem>
      <ddeItem name="ai[134].H.V" advise="1">
        <values>
          <value>
            <val>0</val>
          </value>
        </values>
      </ddeItem>
      <ddeItem name="ai[134].HH.EN" advise="1">
        <values>
          <value>
            <val>0</val>
          </value>
        </values>
      </ddeItem>
      <ddeItem name="ai[134].HH.fix" advise="1">
        <values>
          <value>
            <val>0</val>
          </value>
        </values>
      </ddeItem>
      <ddeItem name="ai[134].HH.V" advise="1">
        <values>
          <value>
            <val>0</val>
          </value>
        </values>
      </ddeItem>
      <ddeItem name="ai[134].i" advise="1">
        <values>
          <value>
            <val>2.8266910000000001E-3</val>
          </value>
        </values>
      </ddeItem>
      <ddeItem name="ai[134].isCorrect" advise="1">
        <values>
          <value>
            <val>0</val>
          </value>
        </values>
      </ddeItem>
      <ddeItem name="ai[134].isCut" advise="1"/>
      <ddeItem name="ai[134].isForce" advise="1">
        <values>
          <value>
            <val>0</val>
          </value>
        </values>
      </ddeItem>
      <ddeItem name="ai[134].isInvScale" advise="1">
        <values>
          <value>
            <val>0</val>
          </value>
        </values>
      </ddeItem>
      <ddeItem name="ai[134].L.EN" advise="1">
        <values>
          <value>
            <val>0</val>
          </value>
        </values>
      </ddeItem>
      <ddeItem name="ai[134].L.fix" advise="1">
        <values>
          <value>
            <val>0</val>
          </value>
        </values>
      </ddeItem>
      <ddeItem name="ai[134].L.V" advise="1">
        <values>
          <value>
            <val>0</val>
          </value>
        </values>
      </ddeItem>
      <ddeItem name="ai[134].LL.EN" advise="1">
        <values>
          <value>
            <val>0</val>
          </value>
        </values>
      </ddeItem>
      <ddeItem name="ai[134].LL.fix" advise="1">
        <values>
          <value>
            <val>0</val>
          </value>
        </values>
      </ddeItem>
      <ddeItem name="ai[134].LL.V" advise="1">
        <values>
          <value>
            <val>0</val>
          </value>
        </values>
      </ddeItem>
      <ddeItem name="ai[134].RH.EN" advise="1">
        <values>
          <value>
            <val>1</val>
          </value>
        </values>
      </ddeItem>
      <ddeItem name="ai[134].RH.fix" advise="1">
        <values>
          <value>
            <val>0</val>
          </value>
        </values>
      </ddeItem>
      <ddeItem name="ai[134].RH.V" advise="1">
        <values>
          <value>
            <val>250</val>
          </value>
        </values>
      </ddeItem>
      <ddeItem name="ai[134].RL.EN" advise="1">
        <values>
          <value>
            <val>1</val>
          </value>
        </values>
      </ddeItem>
      <ddeItem name="ai[134].RL.fix" advise="1">
        <values>
          <value>
            <val>0</val>
          </value>
        </values>
      </ddeItem>
      <ddeItem name="ai[134].RL.V" advise="1">
        <values>
          <value>
            <val>130</val>
          </value>
        </values>
      </ddeItem>
      <ddeItem name="ai[134].state" advise="1">
        <values>
          <value>
            <val>4</val>
          </value>
        </values>
      </ddeItem>
      <ddeItem name="ai[134].v" advise="1">
        <values>
          <value>
            <val>0</val>
          </value>
        </values>
      </ddeItem>
      <ddeItem name="ai[134].vCorrect" advise="1"/>
      <ddeItem name="ai[134].vCut" advise="1"/>
      <ddeItem name="ai[134].vRaw" advise="1"/>
      <ddeItem name="ai[134].ZH" advise="1">
        <values>
          <value>
            <val>300</val>
          </value>
        </values>
      </ddeItem>
      <ddeItem name="ai[134].ZL" advise="1">
        <values>
          <value>
            <val>0</val>
          </value>
        </values>
      </ddeItem>
      <ddeItem name="ai[135].break.sgn" advise="1">
        <values>
          <value>
            <val>1</val>
          </value>
        </values>
      </ddeItem>
      <ddeItem name="ai[135].EN" advise="1">
        <values>
          <value>
            <val>1</val>
          </value>
        </values>
      </ddeItem>
      <ddeItem name="ai[135].group" advise="1">
        <values>
          <value>
            <val>3</val>
          </value>
        </values>
      </ddeItem>
      <ddeItem name="ai[135].H.EN" advise="1">
        <values>
          <value>
            <val>0</val>
          </value>
        </values>
      </ddeItem>
      <ddeItem name="ai[135].H.fix" advise="1">
        <values>
          <value>
            <val>0</val>
          </value>
        </values>
      </ddeItem>
      <ddeItem name="ai[135].H.V" advise="1">
        <values>
          <value>
            <val>0</val>
          </value>
        </values>
      </ddeItem>
      <ddeItem name="ai[135].HH.EN" advise="1">
        <values>
          <value>
            <val>0</val>
          </value>
        </values>
      </ddeItem>
      <ddeItem name="ai[135].HH.fix" advise="1">
        <values>
          <value>
            <val>0</val>
          </value>
        </values>
      </ddeItem>
      <ddeItem name="ai[135].HH.V" advise="1">
        <values>
          <value>
            <val>0</val>
          </value>
        </values>
      </ddeItem>
      <ddeItem name="ai[135].i" advise="1">
        <values>
          <value>
            <val>2.5129319999999998E-3</val>
          </value>
        </values>
      </ddeItem>
      <ddeItem name="ai[135].isCorrect" advise="1">
        <values>
          <value>
            <val>0</val>
          </value>
        </values>
      </ddeItem>
      <ddeItem name="ai[135].isCut" advise="1"/>
      <ddeItem name="ai[135].isForce" advise="1">
        <values>
          <value>
            <val>0</val>
          </value>
        </values>
      </ddeItem>
      <ddeItem name="ai[135].isInvScale" advise="1">
        <values>
          <value>
            <val>0</val>
          </value>
        </values>
      </ddeItem>
      <ddeItem name="ai[135].L.EN" advise="1">
        <values>
          <value>
            <val>0</val>
          </value>
        </values>
      </ddeItem>
      <ddeItem name="ai[135].L.fix" advise="1">
        <values>
          <value>
            <val>0</val>
          </value>
        </values>
      </ddeItem>
      <ddeItem name="ai[135].L.V" advise="1">
        <values>
          <value>
            <val>0</val>
          </value>
        </values>
      </ddeItem>
      <ddeItem name="ai[135].LL.EN" advise="1">
        <values>
          <value>
            <val>0</val>
          </value>
        </values>
      </ddeItem>
      <ddeItem name="ai[135].LL.fix" advise="1">
        <values>
          <value>
            <val>0</val>
          </value>
        </values>
      </ddeItem>
      <ddeItem name="ai[135].LL.V" advise="1">
        <values>
          <value>
            <val>0</val>
          </value>
        </values>
      </ddeItem>
      <ddeItem name="ai[135].RH.EN" advise="1">
        <values>
          <value>
            <val>1</val>
          </value>
        </values>
      </ddeItem>
      <ddeItem name="ai[135].RH.fix" advise="1">
        <values>
          <value>
            <val>0</val>
          </value>
        </values>
      </ddeItem>
      <ddeItem name="ai[135].RH.V" advise="1">
        <values>
          <value>
            <val>85</val>
          </value>
        </values>
      </ddeItem>
      <ddeItem name="ai[135].RL.EN" advise="1">
        <values>
          <value>
            <val>1</val>
          </value>
        </values>
      </ddeItem>
      <ddeItem name="ai[135].RL.fix" advise="1">
        <values>
          <value>
            <val>0</val>
          </value>
        </values>
      </ddeItem>
      <ddeItem name="ai[135].RL.V" advise="1">
        <values>
          <value>
            <val>0</val>
          </value>
        </values>
      </ddeItem>
      <ddeItem name="ai[135].state" advise="1">
        <values>
          <value>
            <val>4</val>
          </value>
        </values>
      </ddeItem>
      <ddeItem name="ai[135].v" advise="1">
        <values>
          <value>
            <val>0</val>
          </value>
        </values>
      </ddeItem>
      <ddeItem name="ai[135].vCorrect" advise="1"/>
      <ddeItem name="ai[135].vCut" advise="1"/>
      <ddeItem name="ai[135].vRaw" advise="1"/>
      <ddeItem name="ai[135].ZH" advise="1">
        <values>
          <value>
            <val>100</val>
          </value>
        </values>
      </ddeItem>
      <ddeItem name="ai[135].ZL" advise="1">
        <values>
          <value>
            <val>0</val>
          </value>
        </values>
      </ddeItem>
      <ddeItem name="ai[136].break.sgn" advise="1">
        <values>
          <value>
            <val>1</val>
          </value>
        </values>
      </ddeItem>
      <ddeItem name="ai[136].EN" advise="1">
        <values>
          <value>
            <val>1</val>
          </value>
        </values>
      </ddeItem>
      <ddeItem name="ai[136].group" advise="1">
        <values>
          <value>
            <val>3</val>
          </value>
        </values>
      </ddeItem>
      <ddeItem name="ai[136].H.EN" advise="1">
        <values>
          <value>
            <val>0</val>
          </value>
        </values>
      </ddeItem>
      <ddeItem name="ai[136].H.fix" advise="1">
        <values>
          <value>
            <val>0</val>
          </value>
        </values>
      </ddeItem>
      <ddeItem name="ai[136].H.V" advise="1">
        <values>
          <value>
            <val>0</val>
          </value>
        </values>
      </ddeItem>
      <ddeItem name="ai[136].HH.EN" advise="1">
        <values>
          <value>
            <val>0</val>
          </value>
        </values>
      </ddeItem>
      <ddeItem name="ai[136].HH.fix" advise="1">
        <values>
          <value>
            <val>0</val>
          </value>
        </values>
      </ddeItem>
      <ddeItem name="ai[136].HH.V" advise="1">
        <values>
          <value>
            <val>0</val>
          </value>
        </values>
      </ddeItem>
      <ddeItem name="ai[136].i" advise="1">
        <values>
          <value>
            <val>2.198219E-3</val>
          </value>
        </values>
      </ddeItem>
      <ddeItem name="ai[136].isCorrect" advise="1">
        <values>
          <value>
            <val>0</val>
          </value>
        </values>
      </ddeItem>
      <ddeItem name="ai[136].isCut" advise="1"/>
      <ddeItem name="ai[136].isForce" advise="1">
        <values>
          <value>
            <val>0</val>
          </value>
        </values>
      </ddeItem>
      <ddeItem name="ai[136].isInvScale" advise="1">
        <values>
          <value>
            <val>0</val>
          </value>
        </values>
      </ddeItem>
      <ddeItem name="ai[136].L.EN" advise="1">
        <values>
          <value>
            <val>0</val>
          </value>
        </values>
      </ddeItem>
      <ddeItem name="ai[136].L.fix" advise="1">
        <values>
          <value>
            <val>0</val>
          </value>
        </values>
      </ddeItem>
      <ddeItem name="ai[136].L.V" advise="1">
        <values>
          <value>
            <val>0</val>
          </value>
        </values>
      </ddeItem>
      <ddeItem name="ai[136].LL.EN" advise="1">
        <values>
          <value>
            <val>0</val>
          </value>
        </values>
      </ddeItem>
      <ddeItem name="ai[136].LL.fix" advise="1">
        <values>
          <value>
            <val>0</val>
          </value>
        </values>
      </ddeItem>
      <ddeItem name="ai[136].LL.V" advise="1">
        <values>
          <value>
            <val>0</val>
          </value>
        </values>
      </ddeItem>
      <ddeItem name="ai[136].RH.EN" advise="1">
        <values>
          <value>
            <val>1</val>
          </value>
        </values>
      </ddeItem>
      <ddeItem name="ai[136].RH.fix" advise="1">
        <values>
          <value>
            <val>0</val>
          </value>
        </values>
      </ddeItem>
      <ddeItem name="ai[136].RH.V" advise="1">
        <values>
          <value>
            <val>210</val>
          </value>
        </values>
      </ddeItem>
      <ddeItem name="ai[136].RL.EN" advise="1">
        <values>
          <value>
            <val>1</val>
          </value>
        </values>
      </ddeItem>
      <ddeItem name="ai[136].RL.fix" advise="1">
        <values>
          <value>
            <val>0</val>
          </value>
        </values>
      </ddeItem>
      <ddeItem name="ai[136].RL.V" advise="1">
        <values>
          <value>
            <val>125</val>
          </value>
        </values>
      </ddeItem>
      <ddeItem name="ai[136].state" advise="1">
        <values>
          <value>
            <val>4</val>
          </value>
        </values>
      </ddeItem>
      <ddeItem name="ai[136].v" advise="1">
        <values>
          <value>
            <val>0</val>
          </value>
        </values>
      </ddeItem>
      <ddeItem name="ai[136].vCorrect" advise="1"/>
      <ddeItem name="ai[136].vCut" advise="1"/>
      <ddeItem name="ai[136].vRaw" advise="1"/>
      <ddeItem name="ai[136].ZH" advise="1">
        <values>
          <value>
            <val>300</val>
          </value>
        </values>
      </ddeItem>
      <ddeItem name="ai[136].ZL" advise="1">
        <values>
          <value>
            <val>0</val>
          </value>
        </values>
      </ddeItem>
      <ddeItem name="ai[137].break.sgn" advise="1">
        <values>
          <value>
            <val>1</val>
          </value>
        </values>
      </ddeItem>
      <ddeItem name="ai[137].EN" advise="1">
        <values>
          <value>
            <val>1</val>
          </value>
        </values>
      </ddeItem>
      <ddeItem name="ai[137].group" advise="1">
        <values>
          <value>
            <val>3</val>
          </value>
        </values>
      </ddeItem>
      <ddeItem name="ai[137].H.EN" advise="1">
        <values>
          <value>
            <val>0</val>
          </value>
        </values>
      </ddeItem>
      <ddeItem name="ai[137].H.fix" advise="1">
        <values>
          <value>
            <val>0</val>
          </value>
        </values>
      </ddeItem>
      <ddeItem name="ai[137].H.V" advise="1">
        <values>
          <value>
            <val>0</val>
          </value>
        </values>
      </ddeItem>
      <ddeItem name="ai[137].HH.EN" advise="1">
        <values>
          <value>
            <val>0</val>
          </value>
        </values>
      </ddeItem>
      <ddeItem name="ai[137].HH.fix" advise="1">
        <values>
          <value>
            <val>0</val>
          </value>
        </values>
      </ddeItem>
      <ddeItem name="ai[137].HH.V" advise="1">
        <values>
          <value>
            <val>0</val>
          </value>
        </values>
      </ddeItem>
      <ddeItem name="ai[137].i" advise="1">
        <values>
          <value>
            <val>2.5129319999999998E-3</val>
          </value>
        </values>
      </ddeItem>
      <ddeItem name="ai[137].isCorrect" advise="1">
        <values>
          <value>
            <val>0</val>
          </value>
        </values>
      </ddeItem>
      <ddeItem name="ai[137].isCut" advise="1"/>
      <ddeItem name="ai[137].isForce" advise="1">
        <values>
          <value>
            <val>0</val>
          </value>
        </values>
      </ddeItem>
      <ddeItem name="ai[137].isInvScale" advise="1">
        <values>
          <value>
            <val>0</val>
          </value>
        </values>
      </ddeItem>
      <ddeItem name="ai[137].L.EN" advise="1">
        <values>
          <value>
            <val>0</val>
          </value>
        </values>
      </ddeItem>
      <ddeItem name="ai[137].L.fix" advise="1">
        <values>
          <value>
            <val>0</val>
          </value>
        </values>
      </ddeItem>
      <ddeItem name="ai[137].L.V" advise="1">
        <values>
          <value>
            <val>0</val>
          </value>
        </values>
      </ddeItem>
      <ddeItem name="ai[137].LL.EN" advise="1">
        <values>
          <value>
            <val>0</val>
          </value>
        </values>
      </ddeItem>
      <ddeItem name="ai[137].LL.fix" advise="1">
        <values>
          <value>
            <val>0</val>
          </value>
        </values>
      </ddeItem>
      <ddeItem name="ai[137].LL.V" advise="1">
        <values>
          <value>
            <val>0</val>
          </value>
        </values>
      </ddeItem>
      <ddeItem name="ai[137].RH.EN" advise="1">
        <values>
          <value>
            <val>1</val>
          </value>
        </values>
      </ddeItem>
      <ddeItem name="ai[137].RH.fix" advise="1">
        <values>
          <value>
            <val>0</val>
          </value>
        </values>
      </ddeItem>
      <ddeItem name="ai[137].RH.V" advise="1">
        <values>
          <value>
            <val>210</val>
          </value>
        </values>
      </ddeItem>
      <ddeItem name="ai[137].RL.EN" advise="1">
        <values>
          <value>
            <val>1</val>
          </value>
        </values>
      </ddeItem>
      <ddeItem name="ai[137].RL.fix" advise="1">
        <values>
          <value>
            <val>0</val>
          </value>
        </values>
      </ddeItem>
      <ddeItem name="ai[137].RL.V" advise="1">
        <values>
          <value>
            <val>125</val>
          </value>
        </values>
      </ddeItem>
      <ddeItem name="ai[137].state" advise="1">
        <values>
          <value>
            <val>4</val>
          </value>
        </values>
      </ddeItem>
      <ddeItem name="ai[137].v" advise="1">
        <values>
          <value>
            <val>0</val>
          </value>
        </values>
      </ddeItem>
      <ddeItem name="ai[137].vCorrect" advise="1"/>
      <ddeItem name="ai[137].vCut" advise="1"/>
      <ddeItem name="ai[137].vRaw" advise="1"/>
      <ddeItem name="ai[137].ZH" advise="1">
        <values>
          <value>
            <val>300</val>
          </value>
        </values>
      </ddeItem>
      <ddeItem name="ai[137].ZL" advise="1">
        <values>
          <value>
            <val>0</val>
          </value>
        </values>
      </ddeItem>
      <ddeItem name="ai[138].break.sgn" advise="1">
        <values>
          <value>
            <val>1</val>
          </value>
        </values>
      </ddeItem>
      <ddeItem name="ai[138].EN" advise="1">
        <values>
          <value>
            <val>1</val>
          </value>
        </values>
      </ddeItem>
      <ddeItem name="ai[138].group" advise="1">
        <values>
          <value>
            <val>3</val>
          </value>
        </values>
      </ddeItem>
      <ddeItem name="ai[138].H.EN" advise="1">
        <values>
          <value>
            <val>0</val>
          </value>
        </values>
      </ddeItem>
      <ddeItem name="ai[138].H.fix" advise="1">
        <values>
          <value>
            <val>0</val>
          </value>
        </values>
      </ddeItem>
      <ddeItem name="ai[138].H.V" advise="1">
        <values>
          <value>
            <val>0</val>
          </value>
        </values>
      </ddeItem>
      <ddeItem name="ai[138].HH.EN" advise="1">
        <values>
          <value>
            <val>0</val>
          </value>
        </values>
      </ddeItem>
      <ddeItem name="ai[138].HH.fix" advise="1">
        <values>
          <value>
            <val>0</val>
          </value>
        </values>
      </ddeItem>
      <ddeItem name="ai[138].HH.V" advise="1">
        <values>
          <value>
            <val>0</val>
          </value>
        </values>
      </ddeItem>
      <ddeItem name="ai[138].i" advise="1">
        <values>
          <value>
            <val>2.8266910000000001E-3</val>
          </value>
        </values>
      </ddeItem>
      <ddeItem name="ai[138].isCorrect" advise="1">
        <values>
          <value>
            <val>0</val>
          </value>
        </values>
      </ddeItem>
      <ddeItem name="ai[138].isCut" advise="1"/>
      <ddeItem name="ai[138].isForce" advise="1">
        <values>
          <value>
            <val>0</val>
          </value>
        </values>
      </ddeItem>
      <ddeItem name="ai[138].isInvScale" advise="1">
        <values>
          <value>
            <val>0</val>
          </value>
        </values>
      </ddeItem>
      <ddeItem name="ai[138].L.EN" advise="1">
        <values>
          <value>
            <val>0</val>
          </value>
        </values>
      </ddeItem>
      <ddeItem name="ai[138].L.fix" advise="1">
        <values>
          <value>
            <val>0</val>
          </value>
        </values>
      </ddeItem>
      <ddeItem name="ai[138].L.V" advise="1">
        <values>
          <value>
            <val>0</val>
          </value>
        </values>
      </ddeItem>
      <ddeItem name="ai[138].LL.EN" advise="1">
        <values>
          <value>
            <val>0</val>
          </value>
        </values>
      </ddeItem>
      <ddeItem name="ai[138].LL.fix" advise="1">
        <values>
          <value>
            <val>0</val>
          </value>
        </values>
      </ddeItem>
      <ddeItem name="ai[138].LL.V" advise="1">
        <values>
          <value>
            <val>0</val>
          </value>
        </values>
      </ddeItem>
      <ddeItem name="ai[138].RH.EN" advise="1">
        <values>
          <value>
            <val>1</val>
          </value>
        </values>
      </ddeItem>
      <ddeItem name="ai[138].RH.fix" advise="1">
        <values>
          <value>
            <val>0</val>
          </value>
        </values>
      </ddeItem>
      <ddeItem name="ai[138].RH.V" advise="1">
        <values>
          <value>
            <val>210</val>
          </value>
        </values>
      </ddeItem>
      <ddeItem name="ai[138].RL.EN" advise="1">
        <values>
          <value>
            <val>1</val>
          </value>
        </values>
      </ddeItem>
      <ddeItem name="ai[138].RL.fix" advise="1">
        <values>
          <value>
            <val>0</val>
          </value>
        </values>
      </ddeItem>
      <ddeItem name="ai[138].RL.V" advise="1">
        <values>
          <value>
            <val>125</val>
          </value>
        </values>
      </ddeItem>
      <ddeItem name="ai[138].state" advise="1">
        <values>
          <value>
            <val>4</val>
          </value>
        </values>
      </ddeItem>
      <ddeItem name="ai[138].v" advise="1">
        <values>
          <value>
            <val>0</val>
          </value>
        </values>
      </ddeItem>
      <ddeItem name="ai[138].vCorrect" advise="1"/>
      <ddeItem name="ai[138].vCut" advise="1"/>
      <ddeItem name="ai[138].vRaw" advise="1"/>
      <ddeItem name="ai[138].ZH" advise="1">
        <values>
          <value>
            <val>300</val>
          </value>
        </values>
      </ddeItem>
      <ddeItem name="ai[138].ZL" advise="1">
        <values>
          <value>
            <val>0</val>
          </value>
        </values>
      </ddeItem>
      <ddeItem name="ai[139].break.sgn" advise="1">
        <values>
          <value>
            <val>1</val>
          </value>
        </values>
      </ddeItem>
      <ddeItem name="ai[139].EN" advise="1">
        <values>
          <value>
            <val>1</val>
          </value>
        </values>
      </ddeItem>
      <ddeItem name="ai[139].group" advise="1">
        <values>
          <value>
            <val>3</val>
          </value>
        </values>
      </ddeItem>
      <ddeItem name="ai[139].H.EN" advise="1">
        <values>
          <value>
            <val>0</val>
          </value>
        </values>
      </ddeItem>
      <ddeItem name="ai[139].H.fix" advise="1">
        <values>
          <value>
            <val>0</val>
          </value>
        </values>
      </ddeItem>
      <ddeItem name="ai[139].H.V" advise="1">
        <values>
          <value>
            <val>0</val>
          </value>
        </values>
      </ddeItem>
      <ddeItem name="ai[139].HH.EN" advise="1">
        <values>
          <value>
            <val>0</val>
          </value>
        </values>
      </ddeItem>
      <ddeItem name="ai[139].HH.fix" advise="1">
        <values>
          <value>
            <val>0</val>
          </value>
        </values>
      </ddeItem>
      <ddeItem name="ai[139].HH.V" advise="1">
        <values>
          <value>
            <val>0</val>
          </value>
        </values>
      </ddeItem>
      <ddeItem name="ai[139].i" advise="1">
        <values>
          <value>
            <val>2.5129319999999998E-3</val>
          </value>
        </values>
      </ddeItem>
      <ddeItem name="ai[139].isCorrect" advise="1">
        <values>
          <value>
            <val>0</val>
          </value>
        </values>
      </ddeItem>
      <ddeItem name="ai[139].isCut" advise="1"/>
      <ddeItem name="ai[139].isForce" advise="1">
        <values>
          <value>
            <val>0</val>
          </value>
        </values>
      </ddeItem>
      <ddeItem name="ai[139].isInvScale" advise="1">
        <values>
          <value>
            <val>0</val>
          </value>
        </values>
      </ddeItem>
      <ddeItem name="ai[139].L.EN" advise="1">
        <values>
          <value>
            <val>0</val>
          </value>
        </values>
      </ddeItem>
      <ddeItem name="ai[139].L.fix" advise="1">
        <values>
          <value>
            <val>0</val>
          </value>
        </values>
      </ddeItem>
      <ddeItem name="ai[139].L.V" advise="1">
        <values>
          <value>
            <val>0</val>
          </value>
        </values>
      </ddeItem>
      <ddeItem name="ai[139].LL.EN" advise="1">
        <values>
          <value>
            <val>0</val>
          </value>
        </values>
      </ddeItem>
      <ddeItem name="ai[139].LL.fix" advise="1">
        <values>
          <value>
            <val>0</val>
          </value>
        </values>
      </ddeItem>
      <ddeItem name="ai[139].LL.V" advise="1">
        <values>
          <value>
            <val>0</val>
          </value>
        </values>
      </ddeItem>
      <ddeItem name="ai[139].RH.EN" advise="1">
        <values>
          <value>
            <val>0</val>
          </value>
        </values>
      </ddeItem>
      <ddeItem name="ai[139].RH.fix" advise="1">
        <values>
          <value>
            <val>0</val>
          </value>
        </values>
      </ddeItem>
      <ddeItem name="ai[139].RH.V" advise="1">
        <values>
          <value>
            <val>0</val>
          </value>
        </values>
      </ddeItem>
      <ddeItem name="ai[139].RL.EN" advise="1">
        <values>
          <value>
            <val>0</val>
          </value>
        </values>
      </ddeItem>
      <ddeItem name="ai[139].RL.fix" advise="1">
        <values>
          <value>
            <val>0</val>
          </value>
        </values>
      </ddeItem>
      <ddeItem name="ai[139].RL.V" advise="1">
        <values>
          <value>
            <val>0</val>
          </value>
        </values>
      </ddeItem>
      <ddeItem name="ai[139].state" advise="1">
        <values>
          <value>
            <val>4</val>
          </value>
        </values>
      </ddeItem>
      <ddeItem name="ai[139].v" advise="1">
        <values>
          <value>
            <val>0</val>
          </value>
        </values>
      </ddeItem>
      <ddeItem name="ai[139].vCorrect" advise="1"/>
      <ddeItem name="ai[139].vCut" advise="1"/>
      <ddeItem name="ai[139].vRaw" advise="1"/>
      <ddeItem name="ai[139].ZH" advise="1">
        <values>
          <value>
            <val>100</val>
          </value>
        </values>
      </ddeItem>
      <ddeItem name="ai[139].ZL" advise="1">
        <values>
          <value>
            <val>0</val>
          </value>
        </values>
      </ddeItem>
      <ddeItem name="AI[14].break.sgn" advise="1">
        <values>
          <value>
            <val>0</val>
          </value>
        </values>
      </ddeItem>
      <ddeItem name="AI[14].EN" advise="1">
        <values>
          <value>
            <val>0</val>
          </value>
        </values>
      </ddeItem>
      <ddeItem name="AI[14].group" advise="1">
        <values>
          <value>
            <val>3</val>
          </value>
        </values>
      </ddeItem>
      <ddeItem name="AI[14].H.EN" advise="1">
        <values>
          <value>
            <val>0</val>
          </value>
        </values>
      </ddeItem>
      <ddeItem name="AI[14].H.fix" advise="1">
        <values>
          <value>
            <val>0</val>
          </value>
        </values>
      </ddeItem>
      <ddeItem name="AI[14].H.V" advise="1">
        <values>
          <value>
            <val>0</val>
          </value>
        </values>
      </ddeItem>
      <ddeItem name="AI[14].HH.EN" advise="1">
        <values>
          <value>
            <val>0</val>
          </value>
        </values>
      </ddeItem>
      <ddeItem name="AI[14].HH.fix" advise="1">
        <values>
          <value>
            <val>0</val>
          </value>
        </values>
      </ddeItem>
      <ddeItem name="AI[14].HH.V" advise="1">
        <values>
          <value>
            <val>0</val>
          </value>
        </values>
      </ddeItem>
      <ddeItem name="AI[14].i" advise="1">
        <values>
          <value>
            <val>0</val>
          </value>
        </values>
      </ddeItem>
      <ddeItem name="AI[14].isCorrect" advise="1">
        <values>
          <value>
            <val>0</val>
          </value>
        </values>
      </ddeItem>
      <ddeItem name="AI[14].isCut" advise="1"/>
      <ddeItem name="AI[14].isForce" advise="1">
        <values>
          <value>
            <val>0</val>
          </value>
        </values>
      </ddeItem>
      <ddeItem name="AI[14].isInvScale" advise="1">
        <values>
          <value>
            <val>0</val>
          </value>
        </values>
      </ddeItem>
      <ddeItem name="AI[14].L.EN" advise="1">
        <values>
          <value>
            <val>0</val>
          </value>
        </values>
      </ddeItem>
      <ddeItem name="AI[14].L.fix" advise="1">
        <values>
          <value>
            <val>0</val>
          </value>
        </values>
      </ddeItem>
      <ddeItem name="AI[14].L.V" advise="1">
        <values>
          <value>
            <val>0.5</val>
          </value>
        </values>
      </ddeItem>
      <ddeItem name="AI[14].LL.EN" advise="1">
        <values>
          <value>
            <val>0</val>
          </value>
        </values>
      </ddeItem>
      <ddeItem name="AI[14].LL.fix" advise="1">
        <values>
          <value>
            <val>0</val>
          </value>
        </values>
      </ddeItem>
      <ddeItem name="AI[14].LL.V" advise="1">
        <values>
          <value>
            <val>0</val>
          </value>
        </values>
      </ddeItem>
      <ddeItem name="AI[14].RH.EN" advise="1">
        <values>
          <value>
            <val>0</val>
          </value>
        </values>
      </ddeItem>
      <ddeItem name="AI[14].RH.fix" advise="1">
        <values>
          <value>
            <val>0</val>
          </value>
        </values>
      </ddeItem>
      <ddeItem name="AI[14].RH.V" advise="1">
        <values>
          <value>
            <val>1.2</val>
          </value>
        </values>
      </ddeItem>
      <ddeItem name="AI[14].RL.EN" advise="1">
        <values>
          <value>
            <val>0</val>
          </value>
        </values>
      </ddeItem>
      <ddeItem name="AI[14].RL.fix" advise="1">
        <values>
          <value>
            <val>1</val>
          </value>
        </values>
      </ddeItem>
      <ddeItem name="AI[14].RL.V" advise="1">
        <values>
          <value>
            <val>0.6</val>
          </value>
        </values>
      </ddeItem>
      <ddeItem name="AI[14].state" advise="1">
        <values>
          <value>
            <val>4</val>
          </value>
        </values>
      </ddeItem>
      <ddeItem name="AI[14].v" advise="1">
        <values>
          <value>
            <val>0</val>
          </value>
        </values>
      </ddeItem>
      <ddeItem name="AI[14].vCorrect" advise="1"/>
      <ddeItem name="AI[14].vCut" advise="1"/>
      <ddeItem name="AI[14].vRaw" advise="1"/>
      <ddeItem name="AI[14].ZH" advise="1">
        <values>
          <value>
            <val>0</val>
          </value>
        </values>
      </ddeItem>
      <ddeItem name="AI[14].ZL" advise="1">
        <values>
          <value>
            <val>0</val>
          </value>
        </values>
      </ddeItem>
      <ddeItem name="ai[140].break.sgn" advise="1">
        <values>
          <value>
            <val>0</val>
          </value>
        </values>
      </ddeItem>
      <ddeItem name="ai[140].EN" advise="1">
        <values>
          <value>
            <val>0</val>
          </value>
        </values>
      </ddeItem>
      <ddeItem name="ai[140].group" advise="1">
        <values>
          <value>
            <val>0</val>
          </value>
        </values>
      </ddeItem>
      <ddeItem name="ai[140].H.EN" advise="1">
        <values>
          <value>
            <val>0</val>
          </value>
        </values>
      </ddeItem>
      <ddeItem name="ai[140].H.fix" advise="1">
        <values>
          <value>
            <val>0</val>
          </value>
        </values>
      </ddeItem>
      <ddeItem name="ai[140].H.V" advise="1">
        <values>
          <value>
            <val>0</val>
          </value>
        </values>
      </ddeItem>
      <ddeItem name="ai[140].HH.EN" advise="1">
        <values>
          <value>
            <val>0</val>
          </value>
        </values>
      </ddeItem>
      <ddeItem name="ai[140].HH.fix" advise="1">
        <values>
          <value>
            <val>0</val>
          </value>
        </values>
      </ddeItem>
      <ddeItem name="ai[140].HH.V" advise="1">
        <values>
          <value>
            <val>0</val>
          </value>
        </values>
      </ddeItem>
      <ddeItem name="ai[140].i" advise="1">
        <values>
          <value>
            <val>0</val>
          </value>
        </values>
      </ddeItem>
      <ddeItem name="ai[140].isCorrect" advise="1">
        <values>
          <value>
            <val>0</val>
          </value>
        </values>
      </ddeItem>
      <ddeItem name="ai[140].isCut" advise="1"/>
      <ddeItem name="ai[140].isForce" advise="1">
        <values>
          <value>
            <val>0</val>
          </value>
        </values>
      </ddeItem>
      <ddeItem name="ai[140].isInvScale" advise="1">
        <values>
          <value>
            <val>0</val>
          </value>
        </values>
      </ddeItem>
      <ddeItem name="ai[140].L.EN" advise="1">
        <values>
          <value>
            <val>0</val>
          </value>
        </values>
      </ddeItem>
      <ddeItem name="ai[140].L.fix" advise="1">
        <values>
          <value>
            <val>0</val>
          </value>
        </values>
      </ddeItem>
      <ddeItem name="ai[140].L.V" advise="1">
        <values>
          <value>
            <val>0</val>
          </value>
        </values>
      </ddeItem>
      <ddeItem name="ai[140].LL.EN" advise="1">
        <values>
          <value>
            <val>0</val>
          </value>
        </values>
      </ddeItem>
      <ddeItem name="ai[140].LL.fix" advise="1">
        <values>
          <value>
            <val>0</val>
          </value>
        </values>
      </ddeItem>
      <ddeItem name="ai[140].LL.V" advise="1">
        <values>
          <value>
            <val>0</val>
          </value>
        </values>
      </ddeItem>
      <ddeItem name="ai[140].RH.EN" advise="1">
        <values>
          <value>
            <val>0</val>
          </value>
        </values>
      </ddeItem>
      <ddeItem name="ai[140].RH.fix" advise="1">
        <values>
          <value>
            <val>0</val>
          </value>
        </values>
      </ddeItem>
      <ddeItem name="ai[140].RH.V" advise="1">
        <values>
          <value>
            <val>0</val>
          </value>
        </values>
      </ddeItem>
      <ddeItem name="ai[140].RL.EN" advise="1">
        <values>
          <value>
            <val>0</val>
          </value>
        </values>
      </ddeItem>
      <ddeItem name="ai[140].RL.fix" advise="1">
        <values>
          <value>
            <val>0</val>
          </value>
        </values>
      </ddeItem>
      <ddeItem name="ai[140].RL.V" advise="1">
        <values>
          <value>
            <val>0</val>
          </value>
        </values>
      </ddeItem>
      <ddeItem name="ai[140].state" advise="1">
        <values>
          <value>
            <val>4</val>
          </value>
        </values>
      </ddeItem>
      <ddeItem name="ai[140].v" advise="1">
        <values>
          <value>
            <val>0</val>
          </value>
        </values>
      </ddeItem>
      <ddeItem name="ai[140].vCorrect" advise="1"/>
      <ddeItem name="ai[140].vCut" advise="1"/>
      <ddeItem name="ai[140].vRaw" advise="1"/>
      <ddeItem name="ai[140].ZH" advise="1">
        <values>
          <value>
            <val>0</val>
          </value>
        </values>
      </ddeItem>
      <ddeItem name="ai[140].ZL" advise="1">
        <values>
          <value>
            <val>0</val>
          </value>
        </values>
      </ddeItem>
      <ddeItem name="ai[141].break.sgn" advise="1">
        <values>
          <value>
            <val>0</val>
          </value>
        </values>
      </ddeItem>
      <ddeItem name="ai[141].EN" advise="1">
        <values>
          <value>
            <val>0</val>
          </value>
        </values>
      </ddeItem>
      <ddeItem name="ai[141].group" advise="1">
        <values>
          <value>
            <val>0</val>
          </value>
        </values>
      </ddeItem>
      <ddeItem name="ai[141].H.EN" advise="1">
        <values>
          <value>
            <val>0</val>
          </value>
        </values>
      </ddeItem>
      <ddeItem name="ai[141].H.fix" advise="1">
        <values>
          <value>
            <val>0</val>
          </value>
        </values>
      </ddeItem>
      <ddeItem name="ai[141].H.V" advise="1">
        <values>
          <value>
            <val>0</val>
          </value>
        </values>
      </ddeItem>
      <ddeItem name="ai[141].HH.EN" advise="1">
        <values>
          <value>
            <val>0</val>
          </value>
        </values>
      </ddeItem>
      <ddeItem name="ai[141].HH.fix" advise="1">
        <values>
          <value>
            <val>0</val>
          </value>
        </values>
      </ddeItem>
      <ddeItem name="ai[141].HH.V" advise="1">
        <values>
          <value>
            <val>0</val>
          </value>
        </values>
      </ddeItem>
      <ddeItem name="ai[141].i" advise="1">
        <values>
          <value>
            <val>0</val>
          </value>
        </values>
      </ddeItem>
      <ddeItem name="ai[141].isCorrect" advise="1">
        <values>
          <value>
            <val>0</val>
          </value>
        </values>
      </ddeItem>
      <ddeItem name="ai[141].isCut" advise="1"/>
      <ddeItem name="ai[141].isForce" advise="1">
        <values>
          <value>
            <val>0</val>
          </value>
        </values>
      </ddeItem>
      <ddeItem name="ai[141].isInvScale" advise="1">
        <values>
          <value>
            <val>0</val>
          </value>
        </values>
      </ddeItem>
      <ddeItem name="ai[141].L.EN" advise="1">
        <values>
          <value>
            <val>0</val>
          </value>
        </values>
      </ddeItem>
      <ddeItem name="ai[141].L.fix" advise="1">
        <values>
          <value>
            <val>0</val>
          </value>
        </values>
      </ddeItem>
      <ddeItem name="ai[141].L.V" advise="1">
        <values>
          <value>
            <val>0</val>
          </value>
        </values>
      </ddeItem>
      <ddeItem name="ai[141].LL.EN" advise="1">
        <values>
          <value>
            <val>0</val>
          </value>
        </values>
      </ddeItem>
      <ddeItem name="ai[141].LL.fix" advise="1">
        <values>
          <value>
            <val>0</val>
          </value>
        </values>
      </ddeItem>
      <ddeItem name="ai[141].LL.V" advise="1">
        <values>
          <value>
            <val>0</val>
          </value>
        </values>
      </ddeItem>
      <ddeItem name="ai[141].RH.EN" advise="1">
        <values>
          <value>
            <val>0</val>
          </value>
        </values>
      </ddeItem>
      <ddeItem name="ai[141].RH.fix" advise="1">
        <values>
          <value>
            <val>0</val>
          </value>
        </values>
      </ddeItem>
      <ddeItem name="ai[141].RH.V" advise="1">
        <values>
          <value>
            <val>0</val>
          </value>
        </values>
      </ddeItem>
      <ddeItem name="ai[141].RL.EN" advise="1">
        <values>
          <value>
            <val>0</val>
          </value>
        </values>
      </ddeItem>
      <ddeItem name="ai[141].RL.fix" advise="1">
        <values>
          <value>
            <val>0</val>
          </value>
        </values>
      </ddeItem>
      <ddeItem name="ai[141].RL.V" advise="1">
        <values>
          <value>
            <val>0</val>
          </value>
        </values>
      </ddeItem>
      <ddeItem name="ai[141].state" advise="1">
        <values>
          <value>
            <val>4</val>
          </value>
        </values>
      </ddeItem>
      <ddeItem name="ai[141].v" advise="1">
        <values>
          <value>
            <val>0</val>
          </value>
        </values>
      </ddeItem>
      <ddeItem name="ai[141].vCorrect" advise="1"/>
      <ddeItem name="ai[141].vCut" advise="1"/>
      <ddeItem name="ai[141].vRaw" advise="1"/>
      <ddeItem name="ai[141].ZH" advise="1">
        <values>
          <value>
            <val>0</val>
          </value>
        </values>
      </ddeItem>
      <ddeItem name="ai[141].ZL" advise="1">
        <values>
          <value>
            <val>0</val>
          </value>
        </values>
      </ddeItem>
      <ddeItem name="ai[142].break.sgn" advise="1">
        <values>
          <value>
            <val>0</val>
          </value>
        </values>
      </ddeItem>
      <ddeItem name="ai[142].EN" advise="1">
        <values>
          <value>
            <val>0</val>
          </value>
        </values>
      </ddeItem>
      <ddeItem name="ai[142].group" advise="1">
        <values>
          <value>
            <val>0</val>
          </value>
        </values>
      </ddeItem>
      <ddeItem name="ai[142].H.EN" advise="1">
        <values>
          <value>
            <val>0</val>
          </value>
        </values>
      </ddeItem>
      <ddeItem name="ai[142].H.fix" advise="1">
        <values>
          <value>
            <val>0</val>
          </value>
        </values>
      </ddeItem>
      <ddeItem name="ai[142].H.V" advise="1">
        <values>
          <value>
            <val>0</val>
          </value>
        </values>
      </ddeItem>
      <ddeItem name="ai[142].HH.EN" advise="1">
        <values>
          <value>
            <val>0</val>
          </value>
        </values>
      </ddeItem>
      <ddeItem name="ai[142].HH.fix" advise="1">
        <values>
          <value>
            <val>0</val>
          </value>
        </values>
      </ddeItem>
      <ddeItem name="ai[142].HH.V" advise="1">
        <values>
          <value>
            <val>0</val>
          </value>
        </values>
      </ddeItem>
      <ddeItem name="ai[142].i" advise="1">
        <values>
          <value>
            <val>0</val>
          </value>
        </values>
      </ddeItem>
      <ddeItem name="ai[142].isCorrect" advise="1">
        <values>
          <value>
            <val>0</val>
          </value>
        </values>
      </ddeItem>
      <ddeItem name="ai[142].isCut" advise="1"/>
      <ddeItem name="ai[142].isForce" advise="1">
        <values>
          <value>
            <val>0</val>
          </value>
        </values>
      </ddeItem>
      <ddeItem name="ai[142].isInvScale" advise="1">
        <values>
          <value>
            <val>0</val>
          </value>
        </values>
      </ddeItem>
      <ddeItem name="ai[142].L.EN" advise="1">
        <values>
          <value>
            <val>0</val>
          </value>
        </values>
      </ddeItem>
      <ddeItem name="ai[142].L.fix" advise="1">
        <values>
          <value>
            <val>0</val>
          </value>
        </values>
      </ddeItem>
      <ddeItem name="ai[142].L.V" advise="1">
        <values>
          <value>
            <val>0</val>
          </value>
        </values>
      </ddeItem>
      <ddeItem name="ai[142].LL.EN" advise="1">
        <values>
          <value>
            <val>0</val>
          </value>
        </values>
      </ddeItem>
      <ddeItem name="ai[142].LL.fix" advise="1">
        <values>
          <value>
            <val>0</val>
          </value>
        </values>
      </ddeItem>
      <ddeItem name="ai[142].LL.V" advise="1">
        <values>
          <value>
            <val>0</val>
          </value>
        </values>
      </ddeItem>
      <ddeItem name="ai[142].RH.EN" advise="1">
        <values>
          <value>
            <val>0</val>
          </value>
        </values>
      </ddeItem>
      <ddeItem name="ai[142].RH.fix" advise="1">
        <values>
          <value>
            <val>0</val>
          </value>
        </values>
      </ddeItem>
      <ddeItem name="ai[142].RH.V" advise="1">
        <values>
          <value>
            <val>0</val>
          </value>
        </values>
      </ddeItem>
      <ddeItem name="ai[142].RL.EN" advise="1">
        <values>
          <value>
            <val>0</val>
          </value>
        </values>
      </ddeItem>
      <ddeItem name="ai[142].RL.fix" advise="1">
        <values>
          <value>
            <val>0</val>
          </value>
        </values>
      </ddeItem>
      <ddeItem name="ai[142].RL.V" advise="1">
        <values>
          <value>
            <val>0</val>
          </value>
        </values>
      </ddeItem>
      <ddeItem name="ai[142].state" advise="1">
        <values>
          <value>
            <val>4</val>
          </value>
        </values>
      </ddeItem>
      <ddeItem name="ai[142].v" advise="1">
        <values>
          <value>
            <val>0</val>
          </value>
        </values>
      </ddeItem>
      <ddeItem name="ai[142].vCorrect" advise="1"/>
      <ddeItem name="ai[142].vCut" advise="1"/>
      <ddeItem name="ai[142].vRaw" advise="1"/>
      <ddeItem name="ai[142].ZH" advise="1">
        <values>
          <value>
            <val>0</val>
          </value>
        </values>
      </ddeItem>
      <ddeItem name="ai[142].ZL" advise="1">
        <values>
          <value>
            <val>0</val>
          </value>
        </values>
      </ddeItem>
      <ddeItem name="ai[143].break.sgn" advise="1">
        <values>
          <value>
            <val>0</val>
          </value>
        </values>
      </ddeItem>
      <ddeItem name="ai[143].EN" advise="1">
        <values>
          <value>
            <val>0</val>
          </value>
        </values>
      </ddeItem>
      <ddeItem name="ai[143].group" advise="1">
        <values>
          <value>
            <val>0</val>
          </value>
        </values>
      </ddeItem>
      <ddeItem name="ai[143].H.EN" advise="1">
        <values>
          <value>
            <val>0</val>
          </value>
        </values>
      </ddeItem>
      <ddeItem name="ai[143].H.fix" advise="1">
        <values>
          <value>
            <val>0</val>
          </value>
        </values>
      </ddeItem>
      <ddeItem name="ai[143].H.V" advise="1">
        <values>
          <value>
            <val>0</val>
          </value>
        </values>
      </ddeItem>
      <ddeItem name="ai[143].HH.EN" advise="1">
        <values>
          <value>
            <val>0</val>
          </value>
        </values>
      </ddeItem>
      <ddeItem name="ai[143].HH.fix" advise="1">
        <values>
          <value>
            <val>0</val>
          </value>
        </values>
      </ddeItem>
      <ddeItem name="ai[143].HH.V" advise="1">
        <values>
          <value>
            <val>0</val>
          </value>
        </values>
      </ddeItem>
      <ddeItem name="ai[143].i" advise="1">
        <values>
          <value>
            <val>0</val>
          </value>
        </values>
      </ddeItem>
      <ddeItem name="ai[143].isCorrect" advise="1">
        <values>
          <value>
            <val>0</val>
          </value>
        </values>
      </ddeItem>
      <ddeItem name="ai[143].isCut" advise="1"/>
      <ddeItem name="ai[143].isForce" advise="1">
        <values>
          <value>
            <val>0</val>
          </value>
        </values>
      </ddeItem>
      <ddeItem name="ai[143].isInvScale" advise="1">
        <values>
          <value>
            <val>0</val>
          </value>
        </values>
      </ddeItem>
      <ddeItem name="ai[143].L.EN" advise="1">
        <values>
          <value>
            <val>0</val>
          </value>
        </values>
      </ddeItem>
      <ddeItem name="ai[143].L.fix" advise="1">
        <values>
          <value>
            <val>0</val>
          </value>
        </values>
      </ddeItem>
      <ddeItem name="ai[143].L.V" advise="1">
        <values>
          <value>
            <val>0</val>
          </value>
        </values>
      </ddeItem>
      <ddeItem name="ai[143].LL.EN" advise="1">
        <values>
          <value>
            <val>0</val>
          </value>
        </values>
      </ddeItem>
      <ddeItem name="ai[143].LL.fix" advise="1">
        <values>
          <value>
            <val>0</val>
          </value>
        </values>
      </ddeItem>
      <ddeItem name="ai[143].LL.V" advise="1">
        <values>
          <value>
            <val>0</val>
          </value>
        </values>
      </ddeItem>
      <ddeItem name="ai[143].RH.EN" advise="1">
        <values>
          <value>
            <val>0</val>
          </value>
        </values>
      </ddeItem>
      <ddeItem name="ai[143].RH.fix" advise="1">
        <values>
          <value>
            <val>0</val>
          </value>
        </values>
      </ddeItem>
      <ddeItem name="ai[143].RH.V" advise="1">
        <values>
          <value>
            <val>0</val>
          </value>
        </values>
      </ddeItem>
      <ddeItem name="ai[143].RL.EN" advise="1">
        <values>
          <value>
            <val>0</val>
          </value>
        </values>
      </ddeItem>
      <ddeItem name="ai[143].RL.fix" advise="1">
        <values>
          <value>
            <val>0</val>
          </value>
        </values>
      </ddeItem>
      <ddeItem name="ai[143].RL.V" advise="1">
        <values>
          <value>
            <val>0</val>
          </value>
        </values>
      </ddeItem>
      <ddeItem name="ai[143].state" advise="1">
        <values>
          <value>
            <val>4</val>
          </value>
        </values>
      </ddeItem>
      <ddeItem name="ai[143].v" advise="1">
        <values>
          <value>
            <val>0</val>
          </value>
        </values>
      </ddeItem>
      <ddeItem name="ai[143].vCorrect" advise="1"/>
      <ddeItem name="ai[143].vCut" advise="1"/>
      <ddeItem name="ai[143].vRaw" advise="1"/>
      <ddeItem name="ai[143].ZH" advise="1">
        <values>
          <value>
            <val>0</val>
          </value>
        </values>
      </ddeItem>
      <ddeItem name="ai[143].ZL" advise="1">
        <values>
          <value>
            <val>0</val>
          </value>
        </values>
      </ddeItem>
      <ddeItem name="ai[144].break.sgn" advise="1">
        <values>
          <value>
            <val>1</val>
          </value>
        </values>
      </ddeItem>
      <ddeItem name="ai[144].EN" advise="1">
        <values>
          <value>
            <val>1</val>
          </value>
        </values>
      </ddeItem>
      <ddeItem name="ai[144].group" advise="1">
        <values>
          <value>
            <val>4</val>
          </value>
        </values>
      </ddeItem>
      <ddeItem name="ai[144].H.EN" advise="1">
        <values>
          <value>
            <val>0</val>
          </value>
        </values>
      </ddeItem>
      <ddeItem name="ai[144].H.fix" advise="1">
        <values>
          <value>
            <val>0</val>
          </value>
        </values>
      </ddeItem>
      <ddeItem name="ai[144].H.V" advise="1">
        <values>
          <value>
            <val>0</val>
          </value>
        </values>
      </ddeItem>
      <ddeItem name="ai[144].HH.EN" advise="1">
        <values>
          <value>
            <val>0</val>
          </value>
        </values>
      </ddeItem>
      <ddeItem name="ai[144].HH.fix" advise="1">
        <values>
          <value>
            <val>0</val>
          </value>
        </values>
      </ddeItem>
      <ddeItem name="ai[144].HH.V" advise="1">
        <values>
          <value>
            <val>0</val>
          </value>
        </values>
      </ddeItem>
      <ddeItem name="ai[144].i" advise="1">
        <values>
          <value>
            <val>3.1404499999999999E-3</val>
          </value>
        </values>
      </ddeItem>
      <ddeItem name="ai[144].isCorrect" advise="1">
        <values>
          <value>
            <val>0</val>
          </value>
        </values>
      </ddeItem>
      <ddeItem name="ai[144].isCut" advise="1"/>
      <ddeItem name="ai[144].isForce" advise="1">
        <values>
          <value>
            <val>0</val>
          </value>
        </values>
      </ddeItem>
      <ddeItem name="ai[144].isInvScale" advise="1">
        <values>
          <value>
            <val>0</val>
          </value>
        </values>
      </ddeItem>
      <ddeItem name="ai[144].L.EN" advise="1">
        <values>
          <value>
            <val>0</val>
          </value>
        </values>
      </ddeItem>
      <ddeItem name="ai[144].L.fix" advise="1">
        <values>
          <value>
            <val>0</val>
          </value>
        </values>
      </ddeItem>
      <ddeItem name="ai[144].L.V" advise="1">
        <values>
          <value>
            <val>0</val>
          </value>
        </values>
      </ddeItem>
      <ddeItem name="ai[144].LL.EN" advise="1">
        <values>
          <value>
            <val>0</val>
          </value>
        </values>
      </ddeItem>
      <ddeItem name="ai[144].LL.fix" advise="1">
        <values>
          <value>
            <val>0</val>
          </value>
        </values>
      </ddeItem>
      <ddeItem name="ai[144].LL.V" advise="1">
        <values>
          <value>
            <val>0</val>
          </value>
        </values>
      </ddeItem>
      <ddeItem name="ai[144].RH.EN" advise="1">
        <values>
          <value>
            <val>1</val>
          </value>
        </values>
      </ddeItem>
      <ddeItem name="ai[144].RH.fix" advise="1">
        <values>
          <value>
            <val>0</val>
          </value>
        </values>
      </ddeItem>
      <ddeItem name="ai[144].RH.V" advise="1">
        <values>
          <value>
            <val>50</val>
          </value>
        </values>
      </ddeItem>
      <ddeItem name="ai[144].RL.EN" advise="1">
        <values>
          <value>
            <val>1</val>
          </value>
        </values>
      </ddeItem>
      <ddeItem name="ai[144].RL.fix" advise="1">
        <values>
          <value>
            <val>0</val>
          </value>
        </values>
      </ddeItem>
      <ddeItem name="ai[144].RL.V" advise="1">
        <values>
          <value>
            <val>30</val>
          </value>
        </values>
      </ddeItem>
      <ddeItem name="ai[144].state" advise="1">
        <values>
          <value>
            <val>4</val>
          </value>
        </values>
      </ddeItem>
      <ddeItem name="ai[144].v" advise="1">
        <values>
          <value>
            <val>0</val>
          </value>
        </values>
      </ddeItem>
      <ddeItem name="ai[144].vCorrect" advise="1"/>
      <ddeItem name="ai[144].vCut" advise="1"/>
      <ddeItem name="ai[144].vRaw" advise="1"/>
      <ddeItem name="ai[144].ZH" advise="1">
        <values>
          <value>
            <val>100</val>
          </value>
        </values>
      </ddeItem>
      <ddeItem name="ai[144].ZL" advise="1">
        <values>
          <value>
            <val>0</val>
          </value>
        </values>
      </ddeItem>
      <ddeItem name="ai[145].break.sgn" advise="1">
        <values>
          <value>
            <val>1</val>
          </value>
        </values>
      </ddeItem>
      <ddeItem name="ai[145].EN" advise="1">
        <values>
          <value>
            <val>1</val>
          </value>
        </values>
      </ddeItem>
      <ddeItem name="ai[145].group" advise="1">
        <values>
          <value>
            <val>4</val>
          </value>
        </values>
      </ddeItem>
      <ddeItem name="ai[145].H.EN" advise="1">
        <values>
          <value>
            <val>0</val>
          </value>
        </values>
      </ddeItem>
      <ddeItem name="ai[145].H.fix" advise="1">
        <values>
          <value>
            <val>0</val>
          </value>
        </values>
      </ddeItem>
      <ddeItem name="ai[145].H.V" advise="1">
        <values>
          <value>
            <val>0</val>
          </value>
        </values>
      </ddeItem>
      <ddeItem name="ai[145].HH.EN" advise="1">
        <values>
          <value>
            <val>0</val>
          </value>
        </values>
      </ddeItem>
      <ddeItem name="ai[145].HH.fix" advise="1">
        <values>
          <value>
            <val>0</val>
          </value>
        </values>
      </ddeItem>
      <ddeItem name="ai[145].HH.V" advise="1">
        <values>
          <value>
            <val>0</val>
          </value>
        </values>
      </ddeItem>
      <ddeItem name="ai[145].i" advise="1">
        <values>
          <value>
            <val>3.1404499999999999E-3</val>
          </value>
        </values>
      </ddeItem>
      <ddeItem name="ai[145].isCorrect" advise="1">
        <values>
          <value>
            <val>0</val>
          </value>
        </values>
      </ddeItem>
      <ddeItem name="ai[145].isCut" advise="1"/>
      <ddeItem name="ai[145].isForce" advise="1">
        <values>
          <value>
            <val>0</val>
          </value>
        </values>
      </ddeItem>
      <ddeItem name="ai[145].isInvScale" advise="1">
        <values>
          <value>
            <val>0</val>
          </value>
        </values>
      </ddeItem>
      <ddeItem name="ai[145].L.EN" advise="1">
        <values>
          <value>
            <val>0</val>
          </value>
        </values>
      </ddeItem>
      <ddeItem name="ai[145].L.fix" advise="1">
        <values>
          <value>
            <val>0</val>
          </value>
        </values>
      </ddeItem>
      <ddeItem name="ai[145].L.V" advise="1">
        <values>
          <value>
            <val>0</val>
          </value>
        </values>
      </ddeItem>
      <ddeItem name="ai[145].LL.EN" advise="1">
        <values>
          <value>
            <val>0</val>
          </value>
        </values>
      </ddeItem>
      <ddeItem name="ai[145].LL.fix" advise="1">
        <values>
          <value>
            <val>0</val>
          </value>
        </values>
      </ddeItem>
      <ddeItem name="ai[145].LL.V" advise="1">
        <values>
          <value>
            <val>0</val>
          </value>
        </values>
      </ddeItem>
      <ddeItem name="ai[145].RH.EN" advise="1">
        <values>
          <value>
            <val>1</val>
          </value>
        </values>
      </ddeItem>
      <ddeItem name="ai[145].RH.fix" advise="1">
        <values>
          <value>
            <val>0</val>
          </value>
        </values>
      </ddeItem>
      <ddeItem name="ai[145].RH.V" advise="1">
        <values>
          <value>
            <val>25</val>
          </value>
        </values>
      </ddeItem>
      <ddeItem name="ai[145].RL.EN" advise="1">
        <values>
          <value>
            <val>1</val>
          </value>
        </values>
      </ddeItem>
      <ddeItem name="ai[145].RL.fix" advise="1">
        <values>
          <value>
            <val>0</val>
          </value>
        </values>
      </ddeItem>
      <ddeItem name="ai[145].RL.V" advise="1">
        <values>
          <value>
            <val>18</val>
          </value>
        </values>
      </ddeItem>
      <ddeItem name="ai[145].state" advise="1">
        <values>
          <value>
            <val>4</val>
          </value>
        </values>
      </ddeItem>
      <ddeItem name="ai[145].v" advise="1">
        <values>
          <value>
            <val>0</val>
          </value>
        </values>
      </ddeItem>
      <ddeItem name="ai[145].vCorrect" advise="1"/>
      <ddeItem name="ai[145].vCut" advise="1"/>
      <ddeItem name="ai[145].vRaw" advise="1"/>
      <ddeItem name="ai[145].ZH" advise="1">
        <values>
          <value>
            <val>60</val>
          </value>
        </values>
      </ddeItem>
      <ddeItem name="ai[145].ZL" advise="1">
        <values>
          <value>
            <val>0</val>
          </value>
        </values>
      </ddeItem>
      <ddeItem name="ai[146].break.sgn" advise="1">
        <values>
          <value>
            <val>1</val>
          </value>
        </values>
      </ddeItem>
      <ddeItem name="ai[146].EN" advise="1">
        <values>
          <value>
            <val>1</val>
          </value>
        </values>
      </ddeItem>
      <ddeItem name="ai[146].group" advise="1">
        <values>
          <value>
            <val>4</val>
          </value>
        </values>
      </ddeItem>
      <ddeItem name="ai[146].H.EN" advise="1">
        <values>
          <value>
            <val>0</val>
          </value>
        </values>
      </ddeItem>
      <ddeItem name="ai[146].H.fix" advise="1">
        <values>
          <value>
            <val>0</val>
          </value>
        </values>
      </ddeItem>
      <ddeItem name="ai[146].H.V" advise="1">
        <values>
          <value>
            <val>0</val>
          </value>
        </values>
      </ddeItem>
      <ddeItem name="ai[146].HH.EN" advise="1">
        <values>
          <value>
            <val>0</val>
          </value>
        </values>
      </ddeItem>
      <ddeItem name="ai[146].HH.fix" advise="1">
        <values>
          <value>
            <val>0</val>
          </value>
        </values>
      </ddeItem>
      <ddeItem name="ai[146].HH.V" advise="1">
        <values>
          <value>
            <val>0</val>
          </value>
        </values>
      </ddeItem>
      <ddeItem name="ai[146].i" advise="1">
        <values>
          <value>
            <val>3.1404499999999999E-3</val>
          </value>
        </values>
      </ddeItem>
      <ddeItem name="ai[146].isCorrect" advise="1">
        <values>
          <value>
            <val>0</val>
          </value>
        </values>
      </ddeItem>
      <ddeItem name="ai[146].isCut" advise="1"/>
      <ddeItem name="ai[146].isForce" advise="1">
        <values>
          <value>
            <val>0</val>
          </value>
        </values>
      </ddeItem>
      <ddeItem name="ai[146].isInvScale" advise="1">
        <values>
          <value>
            <val>0</val>
          </value>
        </values>
      </ddeItem>
      <ddeItem name="ai[146].L.EN" advise="1">
        <values>
          <value>
            <val>0</val>
          </value>
        </values>
      </ddeItem>
      <ddeItem name="ai[146].L.fix" advise="1">
        <values>
          <value>
            <val>0</val>
          </value>
        </values>
      </ddeItem>
      <ddeItem name="ai[146].L.V" advise="1">
        <values>
          <value>
            <val>0</val>
          </value>
        </values>
      </ddeItem>
      <ddeItem name="ai[146].LL.EN" advise="1">
        <values>
          <value>
            <val>0</val>
          </value>
        </values>
      </ddeItem>
      <ddeItem name="ai[146].LL.fix" advise="1">
        <values>
          <value>
            <val>0</val>
          </value>
        </values>
      </ddeItem>
      <ddeItem name="ai[146].LL.V" advise="1">
        <values>
          <value>
            <val>0</val>
          </value>
        </values>
      </ddeItem>
      <ddeItem name="ai[146].RH.EN" advise="1">
        <values>
          <value>
            <val>1</val>
          </value>
        </values>
      </ddeItem>
      <ddeItem name="ai[146].RH.fix" advise="1">
        <values>
          <value>
            <val>0</val>
          </value>
        </values>
      </ddeItem>
      <ddeItem name="ai[146].RH.V" advise="1">
        <values>
          <value>
            <val>100</val>
          </value>
        </values>
      </ddeItem>
      <ddeItem name="ai[146].RL.EN" advise="1">
        <values>
          <value>
            <val>1</val>
          </value>
        </values>
      </ddeItem>
      <ddeItem name="ai[146].RL.fix" advise="1">
        <values>
          <value>
            <val>0</val>
          </value>
        </values>
      </ddeItem>
      <ddeItem name="ai[146].RL.V" advise="1">
        <values>
          <value>
            <val>30</val>
          </value>
        </values>
      </ddeItem>
      <ddeItem name="ai[146].state" advise="1">
        <values>
          <value>
            <val>4</val>
          </value>
        </values>
      </ddeItem>
      <ddeItem name="ai[146].v" advise="1">
        <values>
          <value>
            <val>0</val>
          </value>
        </values>
      </ddeItem>
      <ddeItem name="ai[146].vCorrect" advise="1"/>
      <ddeItem name="ai[146].vCut" advise="1"/>
      <ddeItem name="ai[146].vRaw" advise="1"/>
      <ddeItem name="ai[146].ZH" advise="1">
        <values>
          <value>
            <val>400</val>
          </value>
        </values>
      </ddeItem>
      <ddeItem name="ai[146].ZL" advise="1">
        <values>
          <value>
            <val>0</val>
          </value>
        </values>
      </ddeItem>
      <ddeItem name="ai[147].break.sgn" advise="1">
        <values>
          <value>
            <val>0</val>
          </value>
        </values>
      </ddeItem>
      <ddeItem name="ai[147].EN" advise="1">
        <values>
          <value>
            <val>1</val>
          </value>
        </values>
      </ddeItem>
      <ddeItem name="ai[147].group" advise="1">
        <values>
          <value>
            <val>4</val>
          </value>
        </values>
      </ddeItem>
      <ddeItem name="ai[147].H.EN" advise="1">
        <values>
          <value>
            <val>1</val>
          </value>
        </values>
      </ddeItem>
      <ddeItem name="ai[147].H.fix" advise="1">
        <values>
          <value>
            <val>0</val>
          </value>
        </values>
      </ddeItem>
      <ddeItem name="ai[147].H.V" advise="1">
        <values>
          <value>
            <val>55</val>
          </value>
        </values>
      </ddeItem>
      <ddeItem name="ai[147].HH.EN" advise="1">
        <values>
          <value>
            <val>0</val>
          </value>
        </values>
      </ddeItem>
      <ddeItem name="ai[147].HH.fix" advise="1">
        <values>
          <value>
            <val>0</val>
          </value>
        </values>
      </ddeItem>
      <ddeItem name="ai[147].HH.V" advise="1">
        <values>
          <value>
            <val>0</val>
          </value>
        </values>
      </ddeItem>
      <ddeItem name="ai[147].i" advise="1">
        <values>
          <value>
            <val>4.0100519999999999</val>
          </value>
        </values>
      </ddeItem>
      <ddeItem name="ai[147].isCorrect" advise="1">
        <values>
          <value>
            <val>0</val>
          </value>
        </values>
      </ddeItem>
      <ddeItem name="ai[147].isCut" advise="1"/>
      <ddeItem name="ai[147].isForce" advise="1">
        <values>
          <value>
            <val>0</val>
          </value>
        </values>
      </ddeItem>
      <ddeItem name="ai[147].isInvScale" advise="1">
        <values>
          <value>
            <val>0</val>
          </value>
        </values>
      </ddeItem>
      <ddeItem name="ai[147].L.EN" advise="1">
        <values>
          <value>
            <val>1</val>
          </value>
        </values>
      </ddeItem>
      <ddeItem name="ai[147].L.fix" advise="1">
        <values>
          <value>
            <val>1</val>
          </value>
        </values>
      </ddeItem>
      <ddeItem name="ai[147].L.V" advise="1">
        <values>
          <value>
            <val>10</val>
          </value>
        </values>
      </ddeItem>
      <ddeItem name="ai[147].LL.EN" advise="1">
        <values>
          <value>
            <val>0</val>
          </value>
        </values>
      </ddeItem>
      <ddeItem name="ai[147].LL.fix" advise="1">
        <values>
          <value>
            <val>0</val>
          </value>
        </values>
      </ddeItem>
      <ddeItem name="ai[147].LL.V" advise="1">
        <values>
          <value>
            <val>0</val>
          </value>
        </values>
      </ddeItem>
      <ddeItem name="ai[147].RH.EN" advise="1">
        <values>
          <value>
            <val>1</val>
          </value>
        </values>
      </ddeItem>
      <ddeItem name="ai[147].RH.fix" advise="1">
        <values>
          <value>
            <val>0</val>
          </value>
        </values>
      </ddeItem>
      <ddeItem name="ai[147].RH.V" advise="1">
        <values>
          <value>
            <val>40</val>
          </value>
        </values>
      </ddeItem>
      <ddeItem name="ai[147].RL.EN" advise="1">
        <values>
          <value>
            <val>1</val>
          </value>
        </values>
      </ddeItem>
      <ddeItem name="ai[147].RL.fix" advise="1">
        <values>
          <value>
            <val>1</val>
          </value>
        </values>
      </ddeItem>
      <ddeItem name="ai[147].RL.V" advise="1">
        <values>
          <value>
            <val>15</val>
          </value>
        </values>
      </ddeItem>
      <ddeItem name="ai[147].state" advise="1">
        <values>
          <value>
            <val>2</val>
          </value>
        </values>
      </ddeItem>
      <ddeItem name="ai[147].v" advise="1">
        <values>
          <value>
            <val>0</val>
          </value>
        </values>
      </ddeItem>
      <ddeItem name="ai[147].vCorrect" advise="1"/>
      <ddeItem name="ai[147].vCut" advise="1"/>
      <ddeItem name="ai[147].vRaw" advise="1"/>
      <ddeItem name="ai[147].ZH" advise="1">
        <values>
          <value>
            <val>100</val>
          </value>
        </values>
      </ddeItem>
      <ddeItem name="ai[147].ZL" advise="1">
        <values>
          <value>
            <val>0</val>
          </value>
        </values>
      </ddeItem>
      <ddeItem name="ai[148].break.sgn" advise="1">
        <values>
          <value>
            <val>0</val>
          </value>
        </values>
      </ddeItem>
      <ddeItem name="ai[148].EN" advise="1">
        <values>
          <value>
            <val>1</val>
          </value>
        </values>
      </ddeItem>
      <ddeItem name="ai[148].group" advise="1">
        <values>
          <value>
            <val>4</val>
          </value>
        </values>
      </ddeItem>
      <ddeItem name="ai[148].H.EN" advise="1">
        <values>
          <value>
            <val>1</val>
          </value>
        </values>
      </ddeItem>
      <ddeItem name="ai[148].H.fix" advise="1">
        <values>
          <value>
            <val>0</val>
          </value>
        </values>
      </ddeItem>
      <ddeItem name="ai[148].H.V" advise="1">
        <values>
          <value>
            <val>60</val>
          </value>
        </values>
      </ddeItem>
      <ddeItem name="ai[148].HH.EN" advise="1">
        <values>
          <value>
            <val>0</val>
          </value>
        </values>
      </ddeItem>
      <ddeItem name="ai[148].HH.fix" advise="1">
        <values>
          <value>
            <val>0</val>
          </value>
        </values>
      </ddeItem>
      <ddeItem name="ai[148].HH.V" advise="1">
        <values>
          <value>
            <val>0</val>
          </value>
        </values>
      </ddeItem>
      <ddeItem name="ai[148].i" advise="1">
        <values>
          <value>
            <val>4.0060310000000001</val>
          </value>
        </values>
      </ddeItem>
      <ddeItem name="ai[148].isCorrect" advise="1">
        <values>
          <value>
            <val>0</val>
          </value>
        </values>
      </ddeItem>
      <ddeItem name="ai[148].isCut" advise="1"/>
      <ddeItem name="ai[148].isForce" advise="1">
        <values>
          <value>
            <val>0</val>
          </value>
        </values>
      </ddeItem>
      <ddeItem name="ai[148].isInvScale" advise="1">
        <values>
          <value>
            <val>0</val>
          </value>
        </values>
      </ddeItem>
      <ddeItem name="ai[148].L.EN" advise="1">
        <values>
          <value>
            <val>1</val>
          </value>
        </values>
      </ddeItem>
      <ddeItem name="ai[148].L.fix" advise="1">
        <values>
          <value>
            <val>1</val>
          </value>
        </values>
      </ddeItem>
      <ddeItem name="ai[148].L.V" advise="1">
        <values>
          <value>
            <val>10</val>
          </value>
        </values>
      </ddeItem>
      <ddeItem name="ai[148].LL.EN" advise="1">
        <values>
          <value>
            <val>0</val>
          </value>
        </values>
      </ddeItem>
      <ddeItem name="ai[148].LL.fix" advise="1">
        <values>
          <value>
            <val>0</val>
          </value>
        </values>
      </ddeItem>
      <ddeItem name="ai[148].LL.V" advise="1">
        <values>
          <value>
            <val>0</val>
          </value>
        </values>
      </ddeItem>
      <ddeItem name="ai[148].RH.EN" advise="1">
        <values>
          <value>
            <val>1</val>
          </value>
        </values>
      </ddeItem>
      <ddeItem name="ai[148].RH.fix" advise="1">
        <values>
          <value>
            <val>0</val>
          </value>
        </values>
      </ddeItem>
      <ddeItem name="ai[148].RH.V" advise="1">
        <values>
          <value>
            <val>60</val>
          </value>
        </values>
      </ddeItem>
      <ddeItem name="ai[148].RL.EN" advise="1">
        <values>
          <value>
            <val>1</val>
          </value>
        </values>
      </ddeItem>
      <ddeItem name="ai[148].RL.fix" advise="1">
        <values>
          <value>
            <val>1</val>
          </value>
        </values>
      </ddeItem>
      <ddeItem name="ai[148].RL.V" advise="1">
        <values>
          <value>
            <val>10</val>
          </value>
        </values>
      </ddeItem>
      <ddeItem name="ai[148].state" advise="1">
        <values>
          <value>
            <val>2</val>
          </value>
        </values>
      </ddeItem>
      <ddeItem name="ai[148].v" advise="1">
        <values>
          <value>
            <val>0</val>
          </value>
        </values>
      </ddeItem>
      <ddeItem name="ai[148].vCorrect" advise="1"/>
      <ddeItem name="ai[148].vCut" advise="1"/>
      <ddeItem name="ai[148].vRaw" advise="1"/>
      <ddeItem name="ai[148].ZH" advise="1">
        <values>
          <value>
            <val>100</val>
          </value>
        </values>
      </ddeItem>
      <ddeItem name="ai[148].ZL" advise="1">
        <values>
          <value>
            <val>0</val>
          </value>
        </values>
      </ddeItem>
      <ddeItem name="ai[149].break.sgn" advise="1">
        <values>
          <value>
            <val>1</val>
          </value>
        </values>
      </ddeItem>
      <ddeItem name="ai[149].EN" advise="1">
        <values>
          <value>
            <val>1</val>
          </value>
        </values>
      </ddeItem>
      <ddeItem name="ai[149].group" advise="1">
        <values>
          <value>
            <val>4</val>
          </value>
        </values>
      </ddeItem>
      <ddeItem name="ai[149].H.EN" advise="1">
        <values>
          <value>
            <val>0</val>
          </value>
        </values>
      </ddeItem>
      <ddeItem name="ai[149].H.fix" advise="1">
        <values>
          <value>
            <val>0</val>
          </value>
        </values>
      </ddeItem>
      <ddeItem name="ai[149].H.V" advise="1">
        <values>
          <value>
            <val>0</val>
          </value>
        </values>
      </ddeItem>
      <ddeItem name="ai[149].HH.EN" advise="1">
        <values>
          <value>
            <val>0</val>
          </value>
        </values>
      </ddeItem>
      <ddeItem name="ai[149].HH.fix" advise="1">
        <values>
          <value>
            <val>0</val>
          </value>
        </values>
      </ddeItem>
      <ddeItem name="ai[149].HH.V" advise="1">
        <values>
          <value>
            <val>0</val>
          </value>
        </values>
      </ddeItem>
      <ddeItem name="ai[149].i" advise="1">
        <values>
          <value>
            <val>1.2559890000000001E-3</val>
          </value>
        </values>
      </ddeItem>
      <ddeItem name="ai[149].isCorrect" advise="1">
        <values>
          <value>
            <val>0</val>
          </value>
        </values>
      </ddeItem>
      <ddeItem name="ai[149].isCut" advise="1"/>
      <ddeItem name="ai[149].isForce" advise="1">
        <values>
          <value>
            <val>0</val>
          </value>
        </values>
      </ddeItem>
      <ddeItem name="ai[149].isInvScale" advise="1">
        <values>
          <value>
            <val>0</val>
          </value>
        </values>
      </ddeItem>
      <ddeItem name="ai[149].L.EN" advise="1">
        <values>
          <value>
            <val>0</val>
          </value>
        </values>
      </ddeItem>
      <ddeItem name="ai[149].L.fix" advise="1">
        <values>
          <value>
            <val>0</val>
          </value>
        </values>
      </ddeItem>
      <ddeItem name="ai[149].L.V" advise="1">
        <values>
          <value>
            <val>0</val>
          </value>
        </values>
      </ddeItem>
      <ddeItem name="ai[149].LL.EN" advise="1">
        <values>
          <value>
            <val>0</val>
          </value>
        </values>
      </ddeItem>
      <ddeItem name="ai[149].LL.fix" advise="1">
        <values>
          <value>
            <val>0</val>
          </value>
        </values>
      </ddeItem>
      <ddeItem name="ai[149].LL.V" advise="1">
        <values>
          <value>
            <val>0</val>
          </value>
        </values>
      </ddeItem>
      <ddeItem name="ai[149].RH.EN" advise="1">
        <values>
          <value>
            <val>1</val>
          </value>
        </values>
      </ddeItem>
      <ddeItem name="ai[149].RH.fix" advise="1">
        <values>
          <value>
            <val>0</val>
          </value>
        </values>
      </ddeItem>
      <ddeItem name="ai[149].RH.V" advise="1">
        <values>
          <value>
            <val>60</val>
          </value>
        </values>
      </ddeItem>
      <ddeItem name="ai[149].RL.EN" advise="1">
        <values>
          <value>
            <val>1</val>
          </value>
        </values>
      </ddeItem>
      <ddeItem name="ai[149].RL.fix" advise="1">
        <values>
          <value>
            <val>0</val>
          </value>
        </values>
      </ddeItem>
      <ddeItem name="ai[149].RL.V" advise="1">
        <values>
          <value>
            <val>27</val>
          </value>
        </values>
      </ddeItem>
      <ddeItem name="ai[149].state" advise="1">
        <values>
          <value>
            <val>4</val>
          </value>
        </values>
      </ddeItem>
      <ddeItem name="ai[149].v" advise="1">
        <values>
          <value>
            <val>0</val>
          </value>
        </values>
      </ddeItem>
      <ddeItem name="ai[149].vCorrect" advise="1"/>
      <ddeItem name="ai[149].vCut" advise="1"/>
      <ddeItem name="ai[149].vRaw" advise="1"/>
      <ddeItem name="ai[149].ZH" advise="1">
        <values>
          <value>
            <val>75</val>
          </value>
        </values>
      </ddeItem>
      <ddeItem name="ai[149].ZL" advise="1">
        <values>
          <value>
            <val>0</val>
          </value>
        </values>
      </ddeItem>
      <ddeItem name="AI[15].break.sgn" advise="1">
        <values>
          <value>
            <val>0</val>
          </value>
        </values>
      </ddeItem>
      <ddeItem name="AI[15].EN" advise="1">
        <values>
          <value>
            <val>0</val>
          </value>
        </values>
      </ddeItem>
      <ddeItem name="AI[15].group" advise="1">
        <values>
          <value>
            <val>3</val>
          </value>
        </values>
      </ddeItem>
      <ddeItem name="AI[15].H.EN" advise="1">
        <values>
          <value>
            <val>0</val>
          </value>
        </values>
      </ddeItem>
      <ddeItem name="AI[15].H.fix" advise="1">
        <values>
          <value>
            <val>0</val>
          </value>
        </values>
      </ddeItem>
      <ddeItem name="AI[15].H.V" advise="1">
        <values>
          <value>
            <val>0</val>
          </value>
        </values>
      </ddeItem>
      <ddeItem name="AI[15].HH.EN" advise="1">
        <values>
          <value>
            <val>0</val>
          </value>
        </values>
      </ddeItem>
      <ddeItem name="AI[15].HH.fix" advise="1">
        <values>
          <value>
            <val>0</val>
          </value>
        </values>
      </ddeItem>
      <ddeItem name="AI[15].HH.V" advise="1">
        <values>
          <value>
            <val>0</val>
          </value>
        </values>
      </ddeItem>
      <ddeItem name="AI[15].i" advise="1">
        <values>
          <value>
            <val>0</val>
          </value>
        </values>
      </ddeItem>
      <ddeItem name="AI[15].isCorrect" advise="1">
        <values>
          <value>
            <val>0</val>
          </value>
        </values>
      </ddeItem>
      <ddeItem name="AI[15].isCut" advise="1"/>
      <ddeItem name="AI[15].isForce" advise="1">
        <values>
          <value>
            <val>0</val>
          </value>
        </values>
      </ddeItem>
      <ddeItem name="AI[15].isInvScale" advise="1">
        <values>
          <value>
            <val>0</val>
          </value>
        </values>
      </ddeItem>
      <ddeItem name="AI[15].L.EN" advise="1">
        <values>
          <value>
            <val>0</val>
          </value>
        </values>
      </ddeItem>
      <ddeItem name="AI[15].L.fix" advise="1">
        <values>
          <value>
            <val>0</val>
          </value>
        </values>
      </ddeItem>
      <ddeItem name="AI[15].L.V" advise="1">
        <values>
          <value>
            <val>0.5</val>
          </value>
        </values>
      </ddeItem>
      <ddeItem name="AI[15].LL.EN" advise="1">
        <values>
          <value>
            <val>0</val>
          </value>
        </values>
      </ddeItem>
      <ddeItem name="AI[15].LL.fix" advise="1">
        <values>
          <value>
            <val>0</val>
          </value>
        </values>
      </ddeItem>
      <ddeItem name="AI[15].LL.V" advise="1">
        <values>
          <value>
            <val>0</val>
          </value>
        </values>
      </ddeItem>
      <ddeItem name="AI[15].RH.EN" advise="1">
        <values>
          <value>
            <val>0</val>
          </value>
        </values>
      </ddeItem>
      <ddeItem name="AI[15].RH.fix" advise="1">
        <values>
          <value>
            <val>0</val>
          </value>
        </values>
      </ddeItem>
      <ddeItem name="AI[15].RH.V" advise="1">
        <values>
          <value>
            <val>1.2</val>
          </value>
        </values>
      </ddeItem>
      <ddeItem name="AI[15].RL.EN" advise="1">
        <values>
          <value>
            <val>0</val>
          </value>
        </values>
      </ddeItem>
      <ddeItem name="AI[15].RL.fix" advise="1">
        <values>
          <value>
            <val>1</val>
          </value>
        </values>
      </ddeItem>
      <ddeItem name="AI[15].RL.V" advise="1">
        <values>
          <value>
            <val>0.6</val>
          </value>
        </values>
      </ddeItem>
      <ddeItem name="AI[15].state" advise="1">
        <values>
          <value>
            <val>4</val>
          </value>
        </values>
      </ddeItem>
      <ddeItem name="AI[15].v" advise="1">
        <values>
          <value>
            <val>0</val>
          </value>
        </values>
      </ddeItem>
      <ddeItem name="AI[15].vCorrect" advise="1"/>
      <ddeItem name="AI[15].vCut" advise="1"/>
      <ddeItem name="AI[15].vRaw" advise="1"/>
      <ddeItem name="AI[15].ZH" advise="1">
        <values>
          <value>
            <val>0</val>
          </value>
        </values>
      </ddeItem>
      <ddeItem name="AI[15].ZL" advise="1">
        <values>
          <value>
            <val>0</val>
          </value>
        </values>
      </ddeItem>
      <ddeItem name="ai[150].break.sgn" advise="1">
        <values>
          <value>
            <val>1</val>
          </value>
        </values>
      </ddeItem>
      <ddeItem name="ai[150].EN" advise="1">
        <values>
          <value>
            <val>1</val>
          </value>
        </values>
      </ddeItem>
      <ddeItem name="ai[150].group" advise="1">
        <values>
          <value>
            <val>4</val>
          </value>
        </values>
      </ddeItem>
      <ddeItem name="ai[150].H.EN" advise="1">
        <values>
          <value>
            <val>0</val>
          </value>
        </values>
      </ddeItem>
      <ddeItem name="ai[150].H.fix" advise="1">
        <values>
          <value>
            <val>0</val>
          </value>
        </values>
      </ddeItem>
      <ddeItem name="ai[150].H.V" advise="1">
        <values>
          <value>
            <val>0</val>
          </value>
        </values>
      </ddeItem>
      <ddeItem name="ai[150].HH.EN" advise="1">
        <values>
          <value>
            <val>0</val>
          </value>
        </values>
      </ddeItem>
      <ddeItem name="ai[150].HH.fix" advise="1">
        <values>
          <value>
            <val>0</val>
          </value>
        </values>
      </ddeItem>
      <ddeItem name="ai[150].HH.V" advise="1">
        <values>
          <value>
            <val>0</val>
          </value>
        </values>
      </ddeItem>
      <ddeItem name="ai[150].i" advise="1">
        <values>
          <value>
            <val>2.198219E-3</val>
          </value>
        </values>
      </ddeItem>
      <ddeItem name="ai[150].isCorrect" advise="1">
        <values>
          <value>
            <val>0</val>
          </value>
        </values>
      </ddeItem>
      <ddeItem name="ai[150].isCut" advise="1"/>
      <ddeItem name="ai[150].isForce" advise="1">
        <values>
          <value>
            <val>0</val>
          </value>
        </values>
      </ddeItem>
      <ddeItem name="ai[150].isInvScale" advise="1">
        <values>
          <value>
            <val>0</val>
          </value>
        </values>
      </ddeItem>
      <ddeItem name="ai[150].L.EN" advise="1">
        <values>
          <value>
            <val>0</val>
          </value>
        </values>
      </ddeItem>
      <ddeItem name="ai[150].L.fix" advise="1">
        <values>
          <value>
            <val>0</val>
          </value>
        </values>
      </ddeItem>
      <ddeItem name="ai[150].L.V" advise="1">
        <values>
          <value>
            <val>0</val>
          </value>
        </values>
      </ddeItem>
      <ddeItem name="ai[150].LL.EN" advise="1">
        <values>
          <value>
            <val>0</val>
          </value>
        </values>
      </ddeItem>
      <ddeItem name="ai[150].LL.fix" advise="1">
        <values>
          <value>
            <val>0</val>
          </value>
        </values>
      </ddeItem>
      <ddeItem name="ai[150].LL.V" advise="1">
        <values>
          <value>
            <val>0</val>
          </value>
        </values>
      </ddeItem>
      <ddeItem name="ai[150].RH.EN" advise="1">
        <values>
          <value>
            <val>1</val>
          </value>
        </values>
      </ddeItem>
      <ddeItem name="ai[150].RH.fix" advise="1">
        <values>
          <value>
            <val>0</val>
          </value>
        </values>
      </ddeItem>
      <ddeItem name="ai[150].RH.V" advise="1">
        <values>
          <value>
            <val>1630</val>
          </value>
        </values>
      </ddeItem>
      <ddeItem name="ai[150].RL.EN" advise="1">
        <values>
          <value>
            <val>1</val>
          </value>
        </values>
      </ddeItem>
      <ddeItem name="ai[150].RL.fix" advise="1">
        <values>
          <value>
            <val>0</val>
          </value>
        </values>
      </ddeItem>
      <ddeItem name="ai[150].RL.V" advise="1">
        <values>
          <value>
            <val>0</val>
          </value>
        </values>
      </ddeItem>
      <ddeItem name="ai[150].state" advise="1">
        <values>
          <value>
            <val>4</val>
          </value>
        </values>
      </ddeItem>
      <ddeItem name="ai[150].v" advise="1">
        <values>
          <value>
            <val>0</val>
          </value>
        </values>
      </ddeItem>
      <ddeItem name="ai[150].vCorrect" advise="1"/>
      <ddeItem name="ai[150].vCut" advise="1"/>
      <ddeItem name="ai[150].vRaw" advise="1"/>
      <ddeItem name="ai[150].ZH" advise="1">
        <values>
          <value>
            <val>2000</val>
          </value>
        </values>
      </ddeItem>
      <ddeItem name="ai[150].ZL" advise="1">
        <values>
          <value>
            <val>0</val>
          </value>
        </values>
      </ddeItem>
      <ddeItem name="ai[151].break.sgn" advise="1">
        <values>
          <value>
            <val>1</val>
          </value>
        </values>
      </ddeItem>
      <ddeItem name="ai[151].EN" advise="1">
        <values>
          <value>
            <val>1</val>
          </value>
        </values>
      </ddeItem>
      <ddeItem name="ai[151].group" advise="1">
        <values>
          <value>
            <val>4</val>
          </value>
        </values>
      </ddeItem>
      <ddeItem name="ai[151].H.EN" advise="1">
        <values>
          <value>
            <val>1</val>
          </value>
        </values>
      </ddeItem>
      <ddeItem name="ai[151].H.fix" advise="1">
        <values>
          <value>
            <val>0</val>
          </value>
        </values>
      </ddeItem>
      <ddeItem name="ai[151].H.V" advise="1">
        <values>
          <value>
            <val>170</val>
          </value>
        </values>
      </ddeItem>
      <ddeItem name="ai[151].HH.EN" advise="1">
        <values>
          <value>
            <val>1</val>
          </value>
        </values>
      </ddeItem>
      <ddeItem name="ai[151].HH.fix" advise="1">
        <values>
          <value>
            <val>0</val>
          </value>
        </values>
      </ddeItem>
      <ddeItem name="ai[151].HH.V" advise="1">
        <values>
          <value>
            <val>240</val>
          </value>
        </values>
      </ddeItem>
      <ddeItem name="ai[151].i" advise="1">
        <values>
          <value>
            <val>1.8844599999999999E-3</val>
          </value>
        </values>
      </ddeItem>
      <ddeItem name="ai[151].isCorrect" advise="1">
        <values>
          <value>
            <val>0</val>
          </value>
        </values>
      </ddeItem>
      <ddeItem name="ai[151].isCut" advise="1"/>
      <ddeItem name="ai[151].isForce" advise="1">
        <values>
          <value>
            <val>0</val>
          </value>
        </values>
      </ddeItem>
      <ddeItem name="ai[151].isInvScale" advise="1">
        <values>
          <value>
            <val>0</val>
          </value>
        </values>
      </ddeItem>
      <ddeItem name="ai[151].L.EN" advise="1">
        <values>
          <value>
            <val>0</val>
          </value>
        </values>
      </ddeItem>
      <ddeItem name="ai[151].L.fix" advise="1">
        <values>
          <value>
            <val>0</val>
          </value>
        </values>
      </ddeItem>
      <ddeItem name="ai[151].L.V" advise="1">
        <values>
          <value>
            <val>0</val>
          </value>
        </values>
      </ddeItem>
      <ddeItem name="ai[151].LL.EN" advise="1">
        <values>
          <value>
            <val>0</val>
          </value>
        </values>
      </ddeItem>
      <ddeItem name="ai[151].LL.fix" advise="1">
        <values>
          <value>
            <val>0</val>
          </value>
        </values>
      </ddeItem>
      <ddeItem name="ai[151].LL.V" advise="1">
        <values>
          <value>
            <val>0</val>
          </value>
        </values>
      </ddeItem>
      <ddeItem name="ai[151].RH.EN" advise="1">
        <values>
          <value>
            <val>1</val>
          </value>
        </values>
      </ddeItem>
      <ddeItem name="ai[151].RH.fix" advise="1">
        <values>
          <value>
            <val>0</val>
          </value>
        </values>
      </ddeItem>
      <ddeItem name="ai[151].RH.V" advise="1">
        <values>
          <value>
            <val>240</val>
          </value>
        </values>
      </ddeItem>
      <ddeItem name="ai[151].RL.EN" advise="1">
        <values>
          <value>
            <val>1</val>
          </value>
        </values>
      </ddeItem>
      <ddeItem name="ai[151].RL.fix" advise="1">
        <values>
          <value>
            <val>0</val>
          </value>
        </values>
      </ddeItem>
      <ddeItem name="ai[151].RL.V" advise="1">
        <values>
          <value>
            <val>0</val>
          </value>
        </values>
      </ddeItem>
      <ddeItem name="ai[151].state" advise="1">
        <values>
          <value>
            <val>4</val>
          </value>
        </values>
      </ddeItem>
      <ddeItem name="ai[151].v" advise="1">
        <values>
          <value>
            <val>0</val>
          </value>
        </values>
      </ddeItem>
      <ddeItem name="ai[151].vCorrect" advise="1"/>
      <ddeItem name="ai[151].vCut" advise="1"/>
      <ddeItem name="ai[151].vRaw" advise="1"/>
      <ddeItem name="ai[151].ZH" advise="1">
        <values>
          <value>
            <val>300</val>
          </value>
        </values>
      </ddeItem>
      <ddeItem name="ai[151].ZL" advise="1">
        <values>
          <value>
            <val>0</val>
          </value>
        </values>
      </ddeItem>
      <ddeItem name="ai[152].break.sgn" advise="1">
        <values>
          <value>
            <val>1</val>
          </value>
        </values>
      </ddeItem>
      <ddeItem name="ai[152].EN" advise="1">
        <values>
          <value>
            <val>1</val>
          </value>
        </values>
      </ddeItem>
      <ddeItem name="ai[152].group" advise="1">
        <values>
          <value>
            <val>4</val>
          </value>
        </values>
      </ddeItem>
      <ddeItem name="ai[152].H.EN" advise="1">
        <values>
          <value>
            <val>0</val>
          </value>
        </values>
      </ddeItem>
      <ddeItem name="ai[152].H.fix" advise="1">
        <values>
          <value>
            <val>0</val>
          </value>
        </values>
      </ddeItem>
      <ddeItem name="ai[152].H.V" advise="1">
        <values>
          <value>
            <val>0</val>
          </value>
        </values>
      </ddeItem>
      <ddeItem name="ai[152].HH.EN" advise="1">
        <values>
          <value>
            <val>0</val>
          </value>
        </values>
      </ddeItem>
      <ddeItem name="ai[152].HH.fix" advise="1">
        <values>
          <value>
            <val>0</val>
          </value>
        </values>
      </ddeItem>
      <ddeItem name="ai[152].HH.V" advise="1">
        <values>
          <value>
            <val>0</val>
          </value>
        </values>
      </ddeItem>
      <ddeItem name="ai[152].i" advise="1">
        <values>
          <value>
            <val>9.4223020000000002E-4</val>
          </value>
        </values>
      </ddeItem>
      <ddeItem name="ai[152].isCorrect" advise="1">
        <values>
          <value>
            <val>0</val>
          </value>
        </values>
      </ddeItem>
      <ddeItem name="ai[152].isCut" advise="1"/>
      <ddeItem name="ai[152].isForce" advise="1">
        <values>
          <value>
            <val>0</val>
          </value>
        </values>
      </ddeItem>
      <ddeItem name="ai[152].isInvScale" advise="1">
        <values>
          <value>
            <val>0</val>
          </value>
        </values>
      </ddeItem>
      <ddeItem name="ai[152].L.EN" advise="1">
        <values>
          <value>
            <val>0</val>
          </value>
        </values>
      </ddeItem>
      <ddeItem name="ai[152].L.fix" advise="1">
        <values>
          <value>
            <val>0</val>
          </value>
        </values>
      </ddeItem>
      <ddeItem name="ai[152].L.V" advise="1">
        <values>
          <value>
            <val>0</val>
          </value>
        </values>
      </ddeItem>
      <ddeItem name="ai[152].LL.EN" advise="1">
        <values>
          <value>
            <val>0</val>
          </value>
        </values>
      </ddeItem>
      <ddeItem name="ai[152].LL.fix" advise="1">
        <values>
          <value>
            <val>0</val>
          </value>
        </values>
      </ddeItem>
      <ddeItem name="ai[152].LL.V" advise="1">
        <values>
          <value>
            <val>0</val>
          </value>
        </values>
      </ddeItem>
      <ddeItem name="ai[152].RH.EN" advise="1">
        <values>
          <value>
            <val>1</val>
          </value>
        </values>
      </ddeItem>
      <ddeItem name="ai[152].RH.fix" advise="1">
        <values>
          <value>
            <val>0</val>
          </value>
        </values>
      </ddeItem>
      <ddeItem name="ai[152].RH.V" advise="1">
        <values>
          <value>
            <val>280</val>
          </value>
        </values>
      </ddeItem>
      <ddeItem name="ai[152].RL.EN" advise="1">
        <values>
          <value>
            <val>1</val>
          </value>
        </values>
      </ddeItem>
      <ddeItem name="ai[152].RL.fix" advise="1">
        <values>
          <value>
            <val>0</val>
          </value>
        </values>
      </ddeItem>
      <ddeItem name="ai[152].RL.V" advise="1">
        <values>
          <value>
            <val>130</val>
          </value>
        </values>
      </ddeItem>
      <ddeItem name="ai[152].state" advise="1">
        <values>
          <value>
            <val>4</val>
          </value>
        </values>
      </ddeItem>
      <ddeItem name="ai[152].v" advise="1">
        <values>
          <value>
            <val>0</val>
          </value>
        </values>
      </ddeItem>
      <ddeItem name="ai[152].vCorrect" advise="1"/>
      <ddeItem name="ai[152].vCut" advise="1"/>
      <ddeItem name="ai[152].vRaw" advise="1"/>
      <ddeItem name="ai[152].ZH" advise="1">
        <values>
          <value>
            <val>300</val>
          </value>
        </values>
      </ddeItem>
      <ddeItem name="ai[152].ZL" advise="1">
        <values>
          <value>
            <val>0</val>
          </value>
        </values>
      </ddeItem>
      <ddeItem name="ai[153].break.sgn" advise="1">
        <values>
          <value>
            <val>1</val>
          </value>
        </values>
      </ddeItem>
      <ddeItem name="ai[153].EN" advise="1">
        <values>
          <value>
            <val>1</val>
          </value>
        </values>
      </ddeItem>
      <ddeItem name="ai[153].group" advise="1">
        <values>
          <value>
            <val>4</val>
          </value>
        </values>
      </ddeItem>
      <ddeItem name="ai[153].H.EN" advise="1">
        <values>
          <value>
            <val>1</val>
          </value>
        </values>
      </ddeItem>
      <ddeItem name="ai[153].H.fix" advise="1">
        <values>
          <value>
            <val>0</val>
          </value>
        </values>
      </ddeItem>
      <ddeItem name="ai[153].H.V" advise="1">
        <values>
          <value>
            <val>156</val>
          </value>
        </values>
      </ddeItem>
      <ddeItem name="ai[153].HH.EN" advise="1">
        <values>
          <value>
            <val>0</val>
          </value>
        </values>
      </ddeItem>
      <ddeItem name="ai[153].HH.fix" advise="1">
        <values>
          <value>
            <val>0</val>
          </value>
        </values>
      </ddeItem>
      <ddeItem name="ai[153].HH.V" advise="1">
        <values>
          <value>
            <val>0</val>
          </value>
        </values>
      </ddeItem>
      <ddeItem name="ai[153].i" advise="1">
        <values>
          <value>
            <val>6.2847140000000005E-4</val>
          </value>
        </values>
      </ddeItem>
      <ddeItem name="ai[153].isCorrect" advise="1">
        <values>
          <value>
            <val>0</val>
          </value>
        </values>
      </ddeItem>
      <ddeItem name="ai[153].isCut" advise="1"/>
      <ddeItem name="ai[153].isForce" advise="1">
        <values>
          <value>
            <val>0</val>
          </value>
        </values>
      </ddeItem>
      <ddeItem name="ai[153].isInvScale" advise="1">
        <values>
          <value>
            <val>0</val>
          </value>
        </values>
      </ddeItem>
      <ddeItem name="ai[153].L.EN" advise="1">
        <values>
          <value>
            <val>0</val>
          </value>
        </values>
      </ddeItem>
      <ddeItem name="ai[153].L.fix" advise="1">
        <values>
          <value>
            <val>0</val>
          </value>
        </values>
      </ddeItem>
      <ddeItem name="ai[153].L.V" advise="1">
        <values>
          <value>
            <val>0</val>
          </value>
        </values>
      </ddeItem>
      <ddeItem name="ai[153].LL.EN" advise="1">
        <values>
          <value>
            <val>0</val>
          </value>
        </values>
      </ddeItem>
      <ddeItem name="ai[153].LL.fix" advise="1">
        <values>
          <value>
            <val>0</val>
          </value>
        </values>
      </ddeItem>
      <ddeItem name="ai[153].LL.V" advise="1">
        <values>
          <value>
            <val>0</val>
          </value>
        </values>
      </ddeItem>
      <ddeItem name="ai[153].RH.EN" advise="1">
        <values>
          <value>
            <val>1</val>
          </value>
        </values>
      </ddeItem>
      <ddeItem name="ai[153].RH.fix" advise="1">
        <values>
          <value>
            <val>0</val>
          </value>
        </values>
      </ddeItem>
      <ddeItem name="ai[153].RH.V" advise="1">
        <values>
          <value>
            <val>155</val>
          </value>
        </values>
      </ddeItem>
      <ddeItem name="ai[153].RL.EN" advise="1">
        <values>
          <value>
            <val>1</val>
          </value>
        </values>
      </ddeItem>
      <ddeItem name="ai[153].RL.fix" advise="1">
        <values>
          <value>
            <val>0</val>
          </value>
        </values>
      </ddeItem>
      <ddeItem name="ai[153].RL.V" advise="1">
        <values>
          <value>
            <val>115</val>
          </value>
        </values>
      </ddeItem>
      <ddeItem name="ai[153].state" advise="1">
        <values>
          <value>
            <val>4</val>
          </value>
        </values>
      </ddeItem>
      <ddeItem name="ai[153].v" advise="1">
        <values>
          <value>
            <val>0</val>
          </value>
        </values>
      </ddeItem>
      <ddeItem name="ai[153].vCorrect" advise="1"/>
      <ddeItem name="ai[153].vCut" advise="1"/>
      <ddeItem name="ai[153].vRaw" advise="1"/>
      <ddeItem name="ai[153].ZH" advise="1">
        <values>
          <value>
            <val>200</val>
          </value>
        </values>
      </ddeItem>
      <ddeItem name="ai[153].ZL" advise="1">
        <values>
          <value>
            <val>0</val>
          </value>
        </values>
      </ddeItem>
      <ddeItem name="ai[154].break.sgn" advise="1">
        <values>
          <value>
            <val>0</val>
          </value>
        </values>
      </ddeItem>
      <ddeItem name="ai[154].EN" advise="1">
        <values>
          <value>
            <val>0</val>
          </value>
        </values>
      </ddeItem>
      <ddeItem name="ai[154].group" advise="1">
        <values>
          <value>
            <val>4</val>
          </value>
        </values>
      </ddeItem>
      <ddeItem name="ai[154].H.EN" advise="1">
        <values>
          <value>
            <val>0</val>
          </value>
        </values>
      </ddeItem>
      <ddeItem name="ai[154].H.fix" advise="1">
        <values>
          <value>
            <val>0</val>
          </value>
        </values>
      </ddeItem>
      <ddeItem name="ai[154].H.V" advise="1">
        <values>
          <value>
            <val>0</val>
          </value>
        </values>
      </ddeItem>
      <ddeItem name="ai[154].HH.EN" advise="1">
        <values>
          <value>
            <val>0</val>
          </value>
        </values>
      </ddeItem>
      <ddeItem name="ai[154].HH.fix" advise="1">
        <values>
          <value>
            <val>0</val>
          </value>
        </values>
      </ddeItem>
      <ddeItem name="ai[154].HH.V" advise="1">
        <values>
          <value>
            <val>0</val>
          </value>
        </values>
      </ddeItem>
      <ddeItem name="ai[154].i" advise="1">
        <values>
          <value>
            <val>0</val>
          </value>
        </values>
      </ddeItem>
      <ddeItem name="ai[154].isCorrect" advise="1">
        <values>
          <value>
            <val>0</val>
          </value>
        </values>
      </ddeItem>
      <ddeItem name="ai[154].isCut" advise="1"/>
      <ddeItem name="ai[154].isForce" advise="1">
        <values>
          <value>
            <val>0</val>
          </value>
        </values>
      </ddeItem>
      <ddeItem name="ai[154].isInvScale" advise="1">
        <values>
          <value>
            <val>0</val>
          </value>
        </values>
      </ddeItem>
      <ddeItem name="ai[154].L.EN" advise="1">
        <values>
          <value>
            <val>0</val>
          </value>
        </values>
      </ddeItem>
      <ddeItem name="ai[154].L.fix" advise="1">
        <values>
          <value>
            <val>0</val>
          </value>
        </values>
      </ddeItem>
      <ddeItem name="ai[154].L.V" advise="1">
        <values>
          <value>
            <val>0</val>
          </value>
        </values>
      </ddeItem>
      <ddeItem name="ai[154].LL.EN" advise="1">
        <values>
          <value>
            <val>0</val>
          </value>
        </values>
      </ddeItem>
      <ddeItem name="ai[154].LL.fix" advise="1">
        <values>
          <value>
            <val>0</val>
          </value>
        </values>
      </ddeItem>
      <ddeItem name="ai[154].LL.V" advise="1">
        <values>
          <value>
            <val>0</val>
          </value>
        </values>
      </ddeItem>
      <ddeItem name="ai[154].RH.EN" advise="1">
        <values>
          <value>
            <val>1</val>
          </value>
        </values>
      </ddeItem>
      <ddeItem name="ai[154].RH.fix" advise="1">
        <values>
          <value>
            <val>0</val>
          </value>
        </values>
      </ddeItem>
      <ddeItem name="ai[154].RH.V" advise="1">
        <values>
          <value>
            <val>320</val>
          </value>
        </values>
      </ddeItem>
      <ddeItem name="ai[154].RL.EN" advise="1">
        <values>
          <value>
            <val>1</val>
          </value>
        </values>
      </ddeItem>
      <ddeItem name="ai[154].RL.fix" advise="1">
        <values>
          <value>
            <val>0</val>
          </value>
        </values>
      </ddeItem>
      <ddeItem name="ai[154].RL.V" advise="1">
        <values>
          <value>
            <val>32</val>
          </value>
        </values>
      </ddeItem>
      <ddeItem name="ai[154].state" advise="1">
        <values>
          <value>
            <val>4</val>
          </value>
        </values>
      </ddeItem>
      <ddeItem name="ai[154].v" advise="1">
        <values>
          <value>
            <val>0</val>
          </value>
        </values>
      </ddeItem>
      <ddeItem name="ai[154].vCorrect" advise="1"/>
      <ddeItem name="ai[154].vCut" advise="1"/>
      <ddeItem name="ai[154].vRaw" advise="1"/>
      <ddeItem name="ai[154].ZH" advise="1">
        <values>
          <value>
            <val>350</val>
          </value>
        </values>
      </ddeItem>
      <ddeItem name="ai[154].ZL" advise="1">
        <values>
          <value>
            <val>0</val>
          </value>
        </values>
      </ddeItem>
      <ddeItem name="ai[155].break.sgn" advise="1">
        <values>
          <value>
            <val>0</val>
          </value>
        </values>
      </ddeItem>
      <ddeItem name="ai[155].EN" advise="1">
        <values>
          <value>
            <val>0</val>
          </value>
        </values>
      </ddeItem>
      <ddeItem name="ai[155].group" advise="1">
        <values>
          <value>
            <val>4</val>
          </value>
        </values>
      </ddeItem>
      <ddeItem name="ai[155].H.EN" advise="1">
        <values>
          <value>
            <val>0</val>
          </value>
        </values>
      </ddeItem>
      <ddeItem name="ai[155].H.fix" advise="1">
        <values>
          <value>
            <val>0</val>
          </value>
        </values>
      </ddeItem>
      <ddeItem name="ai[155].H.V" advise="1">
        <values>
          <value>
            <val>0</val>
          </value>
        </values>
      </ddeItem>
      <ddeItem name="ai[155].HH.EN" advise="1">
        <values>
          <value>
            <val>0</val>
          </value>
        </values>
      </ddeItem>
      <ddeItem name="ai[155].HH.fix" advise="1">
        <values>
          <value>
            <val>0</val>
          </value>
        </values>
      </ddeItem>
      <ddeItem name="ai[155].HH.V" advise="1">
        <values>
          <value>
            <val>0</val>
          </value>
        </values>
      </ddeItem>
      <ddeItem name="ai[155].i" advise="1">
        <values>
          <value>
            <val>0</val>
          </value>
        </values>
      </ddeItem>
      <ddeItem name="ai[155].isCorrect" advise="1">
        <values>
          <value>
            <val>0</val>
          </value>
        </values>
      </ddeItem>
      <ddeItem name="ai[155].isCut" advise="1"/>
      <ddeItem name="ai[155].isForce" advise="1">
        <values>
          <value>
            <val>0</val>
          </value>
        </values>
      </ddeItem>
      <ddeItem name="ai[155].isInvScale" advise="1">
        <values>
          <value>
            <val>0</val>
          </value>
        </values>
      </ddeItem>
      <ddeItem name="ai[155].L.EN" advise="1">
        <values>
          <value>
            <val>0</val>
          </value>
        </values>
      </ddeItem>
      <ddeItem name="ai[155].L.fix" advise="1">
        <values>
          <value>
            <val>0</val>
          </value>
        </values>
      </ddeItem>
      <ddeItem name="ai[155].L.V" advise="1">
        <values>
          <value>
            <val>0</val>
          </value>
        </values>
      </ddeItem>
      <ddeItem name="ai[155].LL.EN" advise="1">
        <values>
          <value>
            <val>0</val>
          </value>
        </values>
      </ddeItem>
      <ddeItem name="ai[155].LL.fix" advise="1">
        <values>
          <value>
            <val>0</val>
          </value>
        </values>
      </ddeItem>
      <ddeItem name="ai[155].LL.V" advise="1">
        <values>
          <value>
            <val>0</val>
          </value>
        </values>
      </ddeItem>
      <ddeItem name="ai[155].RH.EN" advise="1">
        <values>
          <value>
            <val>1</val>
          </value>
        </values>
      </ddeItem>
      <ddeItem name="ai[155].RH.fix" advise="1">
        <values>
          <value>
            <val>0</val>
          </value>
        </values>
      </ddeItem>
      <ddeItem name="ai[155].RH.V" advise="1">
        <values>
          <value>
            <val>320</val>
          </value>
        </values>
      </ddeItem>
      <ddeItem name="ai[155].RL.EN" advise="1">
        <values>
          <value>
            <val>1</val>
          </value>
        </values>
      </ddeItem>
      <ddeItem name="ai[155].RL.fix" advise="1">
        <values>
          <value>
            <val>0</val>
          </value>
        </values>
      </ddeItem>
      <ddeItem name="ai[155].RL.V" advise="1">
        <values>
          <value>
            <val>32</val>
          </value>
        </values>
      </ddeItem>
      <ddeItem name="ai[155].state" advise="1">
        <values>
          <value>
            <val>4</val>
          </value>
        </values>
      </ddeItem>
      <ddeItem name="ai[155].v" advise="1">
        <values>
          <value>
            <val>0</val>
          </value>
        </values>
      </ddeItem>
      <ddeItem name="ai[155].vCorrect" advise="1"/>
      <ddeItem name="ai[155].vCut" advise="1"/>
      <ddeItem name="ai[155].vRaw" advise="1"/>
      <ddeItem name="ai[155].ZH" advise="1">
        <values>
          <value>
            <val>350</val>
          </value>
        </values>
      </ddeItem>
      <ddeItem name="ai[155].ZL" advise="1">
        <values>
          <value>
            <val>0</val>
          </value>
        </values>
      </ddeItem>
      <ddeItem name="ai[156].break.sgn" advise="1">
        <values>
          <value>
            <val>1</val>
          </value>
        </values>
      </ddeItem>
      <ddeItem name="ai[156].EN" advise="1">
        <values>
          <value>
            <val>1</val>
          </value>
        </values>
      </ddeItem>
      <ddeItem name="ai[156].group" advise="1">
        <values>
          <value>
            <val>4</val>
          </value>
        </values>
      </ddeItem>
      <ddeItem name="ai[156].H.EN" advise="1">
        <values>
          <value>
            <val>1</val>
          </value>
        </values>
      </ddeItem>
      <ddeItem name="ai[156].H.fix" advise="1">
        <values>
          <value>
            <val>0</val>
          </value>
        </values>
      </ddeItem>
      <ddeItem name="ai[156].H.V" advise="1">
        <values>
          <value>
            <val>13</val>
          </value>
        </values>
      </ddeItem>
      <ddeItem name="ai[156].HH.EN" advise="1">
        <values>
          <value>
            <val>1</val>
          </value>
        </values>
      </ddeItem>
      <ddeItem name="ai[156].HH.fix" advise="1">
        <values>
          <value>
            <val>0</val>
          </value>
        </values>
      </ddeItem>
      <ddeItem name="ai[156].HH.V" advise="1">
        <values>
          <value>
            <val>14</val>
          </value>
        </values>
      </ddeItem>
      <ddeItem name="ai[156].i" advise="1">
        <values>
          <value>
            <val>6.2847140000000005E-4</val>
          </value>
        </values>
      </ddeItem>
      <ddeItem name="ai[156].isCorrect" advise="1">
        <values>
          <value>
            <val>0</val>
          </value>
        </values>
      </ddeItem>
      <ddeItem name="ai[156].isCut" advise="1"/>
      <ddeItem name="ai[156].isForce" advise="1">
        <values>
          <value>
            <val>0</val>
          </value>
        </values>
      </ddeItem>
      <ddeItem name="ai[156].isInvScale" advise="1">
        <values>
          <value>
            <val>0</val>
          </value>
        </values>
      </ddeItem>
      <ddeItem name="ai[156].L.EN" advise="1">
        <values>
          <value>
            <val>0</val>
          </value>
        </values>
      </ddeItem>
      <ddeItem name="ai[156].L.fix" advise="1">
        <values>
          <value>
            <val>0</val>
          </value>
        </values>
      </ddeItem>
      <ddeItem name="ai[156].L.V" advise="1">
        <values>
          <value>
            <val>0</val>
          </value>
        </values>
      </ddeItem>
      <ddeItem name="ai[156].LL.EN" advise="1">
        <values>
          <value>
            <val>0</val>
          </value>
        </values>
      </ddeItem>
      <ddeItem name="ai[156].LL.fix" advise="1">
        <values>
          <value>
            <val>0</val>
          </value>
        </values>
      </ddeItem>
      <ddeItem name="ai[156].LL.V" advise="1">
        <values>
          <value>
            <val>0</val>
          </value>
        </values>
      </ddeItem>
      <ddeItem name="ai[156].RH.EN" advise="1">
        <values>
          <value>
            <val>1</val>
          </value>
        </values>
      </ddeItem>
      <ddeItem name="ai[156].RH.fix" advise="1">
        <values>
          <value>
            <val>0</val>
          </value>
        </values>
      </ddeItem>
      <ddeItem name="ai[156].RH.V" advise="1">
        <values>
          <value>
            <val>13</val>
          </value>
        </values>
      </ddeItem>
      <ddeItem name="ai[156].RL.EN" advise="1">
        <values>
          <value>
            <val>1</val>
          </value>
        </values>
      </ddeItem>
      <ddeItem name="ai[156].RL.fix" advise="1">
        <values>
          <value>
            <val>0</val>
          </value>
        </values>
      </ddeItem>
      <ddeItem name="ai[156].RL.V" advise="1">
        <values>
          <value>
            <val>5</val>
          </value>
        </values>
      </ddeItem>
      <ddeItem name="ai[156].state" advise="1">
        <values>
          <value>
            <val>4</val>
          </value>
        </values>
      </ddeItem>
      <ddeItem name="ai[156].v" advise="1">
        <values>
          <value>
            <val>0</val>
          </value>
        </values>
      </ddeItem>
      <ddeItem name="ai[156].vCorrect" advise="1"/>
      <ddeItem name="ai[156].vCut" advise="1"/>
      <ddeItem name="ai[156].vRaw" advise="1"/>
      <ddeItem name="ai[156].ZH" advise="1">
        <values>
          <value>
            <val>20</val>
          </value>
        </values>
      </ddeItem>
      <ddeItem name="ai[156].ZL" advise="1">
        <values>
          <value>
            <val>0</val>
          </value>
        </values>
      </ddeItem>
      <ddeItem name="ai[157].break.sgn" advise="1">
        <values>
          <value>
            <val>1</val>
          </value>
        </values>
      </ddeItem>
      <ddeItem name="ai[157].EN" advise="1">
        <values>
          <value>
            <val>1</val>
          </value>
        </values>
      </ddeItem>
      <ddeItem name="ai[157].group" advise="1">
        <values>
          <value>
            <val>4</val>
          </value>
        </values>
      </ddeItem>
      <ddeItem name="ai[157].H.EN" advise="1">
        <values>
          <value>
            <val>0</val>
          </value>
        </values>
      </ddeItem>
      <ddeItem name="ai[157].H.fix" advise="1">
        <values>
          <value>
            <val>0</val>
          </value>
        </values>
      </ddeItem>
      <ddeItem name="ai[157].H.V" advise="1">
        <values>
          <value>
            <val>0</val>
          </value>
        </values>
      </ddeItem>
      <ddeItem name="ai[157].HH.EN" advise="1">
        <values>
          <value>
            <val>0</val>
          </value>
        </values>
      </ddeItem>
      <ddeItem name="ai[157].HH.fix" advise="1">
        <values>
          <value>
            <val>0</val>
          </value>
        </values>
      </ddeItem>
      <ddeItem name="ai[157].HH.V" advise="1">
        <values>
          <value>
            <val>0</val>
          </value>
        </values>
      </ddeItem>
      <ddeItem name="ai[157].i" advise="1">
        <values>
          <value>
            <val>6.2847140000000005E-4</val>
          </value>
        </values>
      </ddeItem>
      <ddeItem name="ai[157].isCorrect" advise="1">
        <values>
          <value>
            <val>0</val>
          </value>
        </values>
      </ddeItem>
      <ddeItem name="ai[157].isCut" advise="1"/>
      <ddeItem name="ai[157].isForce" advise="1">
        <values>
          <value>
            <val>0</val>
          </value>
        </values>
      </ddeItem>
      <ddeItem name="ai[157].isInvScale" advise="1">
        <values>
          <value>
            <val>0</val>
          </value>
        </values>
      </ddeItem>
      <ddeItem name="ai[157].L.EN" advise="1">
        <values>
          <value>
            <val>0</val>
          </value>
        </values>
      </ddeItem>
      <ddeItem name="ai[157].L.fix" advise="1">
        <values>
          <value>
            <val>0</val>
          </value>
        </values>
      </ddeItem>
      <ddeItem name="ai[157].L.V" advise="1">
        <values>
          <value>
            <val>0</val>
          </value>
        </values>
      </ddeItem>
      <ddeItem name="ai[157].LL.EN" advise="1">
        <values>
          <value>
            <val>0</val>
          </value>
        </values>
      </ddeItem>
      <ddeItem name="ai[157].LL.fix" advise="1">
        <values>
          <value>
            <val>0</val>
          </value>
        </values>
      </ddeItem>
      <ddeItem name="ai[157].LL.V" advise="1">
        <values>
          <value>
            <val>0</val>
          </value>
        </values>
      </ddeItem>
      <ddeItem name="ai[157].RH.EN" advise="1">
        <values>
          <value>
            <val>1</val>
          </value>
        </values>
      </ddeItem>
      <ddeItem name="ai[157].RH.fix" advise="1">
        <values>
          <value>
            <val>0</val>
          </value>
        </values>
      </ddeItem>
      <ddeItem name="ai[157].RH.V" advise="1">
        <values>
          <value>
            <val>1.05</val>
          </value>
        </values>
      </ddeItem>
      <ddeItem name="ai[157].RL.EN" advise="1">
        <values>
          <value>
            <val>1</val>
          </value>
        </values>
      </ddeItem>
      <ddeItem name="ai[157].RL.fix" advise="1">
        <values>
          <value>
            <val>0</val>
          </value>
        </values>
      </ddeItem>
      <ddeItem name="ai[157].RL.V" advise="1">
        <values>
          <value>
            <val>0.95</val>
          </value>
        </values>
      </ddeItem>
      <ddeItem name="ai[157].state" advise="1">
        <values>
          <value>
            <val>4</val>
          </value>
        </values>
      </ddeItem>
      <ddeItem name="ai[157].v" advise="1">
        <values>
          <value>
            <val>0</val>
          </value>
        </values>
      </ddeItem>
      <ddeItem name="ai[157].vCorrect" advise="1"/>
      <ddeItem name="ai[157].vCut" advise="1"/>
      <ddeItem name="ai[157].vRaw" advise="1"/>
      <ddeItem name="ai[157].ZH" advise="1">
        <values>
          <value>
            <val>2</val>
          </value>
        </values>
      </ddeItem>
      <ddeItem name="ai[157].ZL" advise="1">
        <values>
          <value>
            <val>0</val>
          </value>
        </values>
      </ddeItem>
      <ddeItem name="ai[158].break.sgn" advise="1">
        <values>
          <value>
            <val>0</val>
          </value>
        </values>
      </ddeItem>
      <ddeItem name="ai[158].EN" advise="1">
        <values>
          <value>
            <val>0</val>
          </value>
        </values>
      </ddeItem>
      <ddeItem name="ai[158].group" advise="1">
        <values>
          <value>
            <val>0</val>
          </value>
        </values>
      </ddeItem>
      <ddeItem name="ai[158].H.EN" advise="1">
        <values>
          <value>
            <val>0</val>
          </value>
        </values>
      </ddeItem>
      <ddeItem name="ai[158].H.fix" advise="1">
        <values>
          <value>
            <val>0</val>
          </value>
        </values>
      </ddeItem>
      <ddeItem name="ai[158].H.V" advise="1">
        <values>
          <value>
            <val>0</val>
          </value>
        </values>
      </ddeItem>
      <ddeItem name="ai[158].HH.EN" advise="1">
        <values>
          <value>
            <val>0</val>
          </value>
        </values>
      </ddeItem>
      <ddeItem name="ai[158].HH.fix" advise="1">
        <values>
          <value>
            <val>0</val>
          </value>
        </values>
      </ddeItem>
      <ddeItem name="ai[158].HH.V" advise="1">
        <values>
          <value>
            <val>0</val>
          </value>
        </values>
      </ddeItem>
      <ddeItem name="ai[158].i" advise="1">
        <values>
          <value>
            <val>0</val>
          </value>
        </values>
      </ddeItem>
      <ddeItem name="ai[158].isCorrect" advise="1">
        <values>
          <value>
            <val>0</val>
          </value>
        </values>
      </ddeItem>
      <ddeItem name="ai[158].isCut" advise="1"/>
      <ddeItem name="ai[158].isForce" advise="1">
        <values>
          <value>
            <val>0</val>
          </value>
        </values>
      </ddeItem>
      <ddeItem name="ai[158].isInvScale" advise="1">
        <values>
          <value>
            <val>0</val>
          </value>
        </values>
      </ddeItem>
      <ddeItem name="ai[158].L.EN" advise="1">
        <values>
          <value>
            <val>0</val>
          </value>
        </values>
      </ddeItem>
      <ddeItem name="ai[158].L.fix" advise="1">
        <values>
          <value>
            <val>0</val>
          </value>
        </values>
      </ddeItem>
      <ddeItem name="ai[158].L.V" advise="1">
        <values>
          <value>
            <val>0</val>
          </value>
        </values>
      </ddeItem>
      <ddeItem name="ai[158].LL.EN" advise="1">
        <values>
          <value>
            <val>0</val>
          </value>
        </values>
      </ddeItem>
      <ddeItem name="ai[158].LL.fix" advise="1">
        <values>
          <value>
            <val>0</val>
          </value>
        </values>
      </ddeItem>
      <ddeItem name="ai[158].LL.V" advise="1">
        <values>
          <value>
            <val>0</val>
          </value>
        </values>
      </ddeItem>
      <ddeItem name="ai[158].RH.EN" advise="1">
        <values>
          <value>
            <val>0</val>
          </value>
        </values>
      </ddeItem>
      <ddeItem name="ai[158].RH.fix" advise="1">
        <values>
          <value>
            <val>0</val>
          </value>
        </values>
      </ddeItem>
      <ddeItem name="ai[158].RH.V" advise="1">
        <values>
          <value>
            <val>0</val>
          </value>
        </values>
      </ddeItem>
      <ddeItem name="ai[158].RL.EN" advise="1">
        <values>
          <value>
            <val>0</val>
          </value>
        </values>
      </ddeItem>
      <ddeItem name="ai[158].RL.fix" advise="1">
        <values>
          <value>
            <val>0</val>
          </value>
        </values>
      </ddeItem>
      <ddeItem name="ai[158].RL.V" advise="1">
        <values>
          <value>
            <val>0</val>
          </value>
        </values>
      </ddeItem>
      <ddeItem name="ai[158].state" advise="1">
        <values>
          <value>
            <val>4</val>
          </value>
        </values>
      </ddeItem>
      <ddeItem name="ai[158].v" advise="1">
        <values>
          <value>
            <val>0</val>
          </value>
        </values>
      </ddeItem>
      <ddeItem name="ai[158].vCorrect" advise="1"/>
      <ddeItem name="ai[158].vCut" advise="1"/>
      <ddeItem name="ai[158].vRaw" advise="1"/>
      <ddeItem name="ai[158].ZH" advise="1">
        <values>
          <value>
            <val>0</val>
          </value>
        </values>
      </ddeItem>
      <ddeItem name="ai[158].ZL" advise="1">
        <values>
          <value>
            <val>0</val>
          </value>
        </values>
      </ddeItem>
      <ddeItem name="ai[159].break.sgn" advise="1">
        <values>
          <value>
            <val>0</val>
          </value>
        </values>
      </ddeItem>
      <ddeItem name="ai[159].EN" advise="1">
        <values>
          <value>
            <val>0</val>
          </value>
        </values>
      </ddeItem>
      <ddeItem name="ai[159].group" advise="1">
        <values>
          <value>
            <val>0</val>
          </value>
        </values>
      </ddeItem>
      <ddeItem name="ai[159].H.EN" advise="1">
        <values>
          <value>
            <val>0</val>
          </value>
        </values>
      </ddeItem>
      <ddeItem name="ai[159].H.fix" advise="1">
        <values>
          <value>
            <val>0</val>
          </value>
        </values>
      </ddeItem>
      <ddeItem name="ai[159].H.V" advise="1">
        <values>
          <value>
            <val>0</val>
          </value>
        </values>
      </ddeItem>
      <ddeItem name="ai[159].HH.EN" advise="1">
        <values>
          <value>
            <val>0</val>
          </value>
        </values>
      </ddeItem>
      <ddeItem name="ai[159].HH.fix" advise="1">
        <values>
          <value>
            <val>0</val>
          </value>
        </values>
      </ddeItem>
      <ddeItem name="ai[159].HH.V" advise="1">
        <values>
          <value>
            <val>0</val>
          </value>
        </values>
      </ddeItem>
      <ddeItem name="ai[159].i" advise="1">
        <values>
          <value>
            <val>0</val>
          </value>
        </values>
      </ddeItem>
      <ddeItem name="ai[159].isCorrect" advise="1">
        <values>
          <value>
            <val>0</val>
          </value>
        </values>
      </ddeItem>
      <ddeItem name="ai[159].isCut" advise="1"/>
      <ddeItem name="ai[159].isForce" advise="1">
        <values>
          <value>
            <val>0</val>
          </value>
        </values>
      </ddeItem>
      <ddeItem name="ai[159].isInvScale" advise="1">
        <values>
          <value>
            <val>0</val>
          </value>
        </values>
      </ddeItem>
      <ddeItem name="ai[159].L.EN" advise="1">
        <values>
          <value>
            <val>0</val>
          </value>
        </values>
      </ddeItem>
      <ddeItem name="ai[159].L.fix" advise="1">
        <values>
          <value>
            <val>0</val>
          </value>
        </values>
      </ddeItem>
      <ddeItem name="ai[159].L.V" advise="1">
        <values>
          <value>
            <val>0</val>
          </value>
        </values>
      </ddeItem>
      <ddeItem name="ai[159].LL.EN" advise="1">
        <values>
          <value>
            <val>0</val>
          </value>
        </values>
      </ddeItem>
      <ddeItem name="ai[159].LL.fix" advise="1">
        <values>
          <value>
            <val>0</val>
          </value>
        </values>
      </ddeItem>
      <ddeItem name="ai[159].LL.V" advise="1">
        <values>
          <value>
            <val>0</val>
          </value>
        </values>
      </ddeItem>
      <ddeItem name="ai[159].RH.EN" advise="1">
        <values>
          <value>
            <val>0</val>
          </value>
        </values>
      </ddeItem>
      <ddeItem name="ai[159].RH.fix" advise="1">
        <values>
          <value>
            <val>0</val>
          </value>
        </values>
      </ddeItem>
      <ddeItem name="ai[159].RH.V" advise="1">
        <values>
          <value>
            <val>0</val>
          </value>
        </values>
      </ddeItem>
      <ddeItem name="ai[159].RL.EN" advise="1">
        <values>
          <value>
            <val>0</val>
          </value>
        </values>
      </ddeItem>
      <ddeItem name="ai[159].RL.fix" advise="1">
        <values>
          <value>
            <val>0</val>
          </value>
        </values>
      </ddeItem>
      <ddeItem name="ai[159].RL.V" advise="1">
        <values>
          <value>
            <val>0</val>
          </value>
        </values>
      </ddeItem>
      <ddeItem name="ai[159].state" advise="1">
        <values>
          <value>
            <val>4</val>
          </value>
        </values>
      </ddeItem>
      <ddeItem name="ai[159].v" advise="1">
        <values>
          <value>
            <val>0</val>
          </value>
        </values>
      </ddeItem>
      <ddeItem name="ai[159].vCorrect" advise="1"/>
      <ddeItem name="ai[159].vCut" advise="1"/>
      <ddeItem name="ai[159].vRaw" advise="1"/>
      <ddeItem name="ai[159].ZH" advise="1">
        <values>
          <value>
            <val>0</val>
          </value>
        </values>
      </ddeItem>
      <ddeItem name="ai[159].ZL" advise="1">
        <values>
          <value>
            <val>0</val>
          </value>
        </values>
      </ddeItem>
      <ddeItem name="AI[16].break.sgn" advise="1">
        <values>
          <value>
            <val>1</val>
          </value>
        </values>
      </ddeItem>
      <ddeItem name="AI[16].EN" advise="1">
        <values>
          <value>
            <val>1</val>
          </value>
        </values>
      </ddeItem>
      <ddeItem name="AI[16].group" advise="1">
        <values>
          <value>
            <val>1</val>
          </value>
        </values>
      </ddeItem>
      <ddeItem name="AI[16].H.EN" advise="1">
        <values>
          <value>
            <val>0</val>
          </value>
        </values>
      </ddeItem>
      <ddeItem name="AI[16].H.fix" advise="1">
        <values>
          <value>
            <val>0</val>
          </value>
        </values>
      </ddeItem>
      <ddeItem name="AI[16].H.V" advise="1">
        <values>
          <value>
            <val>0</val>
          </value>
        </values>
      </ddeItem>
      <ddeItem name="AI[16].HH.EN" advise="1">
        <values>
          <value>
            <val>0</val>
          </value>
        </values>
      </ddeItem>
      <ddeItem name="AI[16].HH.fix" advise="1">
        <values>
          <value>
            <val>0</val>
          </value>
        </values>
      </ddeItem>
      <ddeItem name="AI[16].HH.V" advise="1">
        <values>
          <value>
            <val>0</val>
          </value>
        </values>
      </ddeItem>
      <ddeItem name="AI[16].i" advise="1">
        <values>
          <value>
            <val>4.7111510000000002E-3</val>
          </value>
        </values>
      </ddeItem>
      <ddeItem name="AI[16].isCorrect" advise="1">
        <values>
          <value>
            <val>0</val>
          </value>
        </values>
      </ddeItem>
      <ddeItem name="AI[16].isCut" advise="1"/>
      <ddeItem name="AI[16].isForce" advise="1">
        <values>
          <value>
            <val>0</val>
          </value>
        </values>
      </ddeItem>
      <ddeItem name="AI[16].isInvScale" advise="1">
        <values>
          <value>
            <val>0</val>
          </value>
        </values>
      </ddeItem>
      <ddeItem name="AI[16].L.EN" advise="1">
        <values>
          <value>
            <val>0</val>
          </value>
        </values>
      </ddeItem>
      <ddeItem name="AI[16].L.fix" advise="1">
        <values>
          <value>
            <val>0</val>
          </value>
        </values>
      </ddeItem>
      <ddeItem name="AI[16].L.V" advise="1">
        <values>
          <value>
            <val>0</val>
          </value>
        </values>
      </ddeItem>
      <ddeItem name="AI[16].LL.EN" advise="1">
        <values>
          <value>
            <val>0</val>
          </value>
        </values>
      </ddeItem>
      <ddeItem name="AI[16].LL.fix" advise="1">
        <values>
          <value>
            <val>0</val>
          </value>
        </values>
      </ddeItem>
      <ddeItem name="AI[16].LL.V" advise="1">
        <values>
          <value>
            <val>0</val>
          </value>
        </values>
      </ddeItem>
      <ddeItem name="AI[16].RH.EN" advise="1">
        <values>
          <value>
            <val>1</val>
          </value>
        </values>
      </ddeItem>
      <ddeItem name="AI[16].RH.fix" advise="1">
        <values>
          <value>
            <val>0</val>
          </value>
        </values>
      </ddeItem>
      <ddeItem name="AI[16].RH.V" advise="1">
        <values>
          <value>
            <val>40</val>
          </value>
        </values>
      </ddeItem>
      <ddeItem name="AI[16].RL.EN" advise="1">
        <values>
          <value>
            <val>1</val>
          </value>
        </values>
      </ddeItem>
      <ddeItem name="AI[16].RL.fix" advise="1">
        <values>
          <value>
            <val>0</val>
          </value>
        </values>
      </ddeItem>
      <ddeItem name="AI[16].RL.V" advise="1">
        <values>
          <value>
            <val>5</val>
          </value>
        </values>
      </ddeItem>
      <ddeItem name="AI[16].state" advise="1">
        <values>
          <value>
            <val>4</val>
          </value>
        </values>
      </ddeItem>
      <ddeItem name="AI[16].v" advise="1">
        <values>
          <value>
            <val>0</val>
          </value>
        </values>
      </ddeItem>
      <ddeItem name="AI[16].vCorrect" advise="1"/>
      <ddeItem name="AI[16].vCut" advise="1"/>
      <ddeItem name="AI[16].vRaw" advise="1"/>
      <ddeItem name="AI[16].ZH" advise="1">
        <values>
          <value>
            <val>50</val>
          </value>
        </values>
      </ddeItem>
      <ddeItem name="AI[16].ZL" advise="1">
        <values>
          <value>
            <val>-50</val>
          </value>
        </values>
      </ddeItem>
      <ddeItem name="ai[160].break.sgn" advise="1">
        <values>
          <value>
            <val>1</val>
          </value>
        </values>
      </ddeItem>
      <ddeItem name="ai[160].EN" advise="1">
        <values>
          <value>
            <val>1</val>
          </value>
        </values>
      </ddeItem>
      <ddeItem name="ai[160].group" advise="1">
        <values>
          <value>
            <val>4</val>
          </value>
        </values>
      </ddeItem>
      <ddeItem name="ai[160].H.EN" advise="1">
        <values>
          <value>
            <val>0</val>
          </value>
        </values>
      </ddeItem>
      <ddeItem name="ai[160].H.fix" advise="1">
        <values>
          <value>
            <val>0</val>
          </value>
        </values>
      </ddeItem>
      <ddeItem name="ai[160].H.V" advise="1">
        <values>
          <value>
            <val>0</val>
          </value>
        </values>
      </ddeItem>
      <ddeItem name="ai[160].HH.EN" advise="1">
        <values>
          <value>
            <val>0</val>
          </value>
        </values>
      </ddeItem>
      <ddeItem name="ai[160].HH.fix" advise="1">
        <values>
          <value>
            <val>0</val>
          </value>
        </values>
      </ddeItem>
      <ddeItem name="ai[160].HH.V" advise="1">
        <values>
          <value>
            <val>0</val>
          </value>
        </values>
      </ddeItem>
      <ddeItem name="ai[160].i" advise="1">
        <values>
          <value>
            <val>4.7111510000000002E-3</val>
          </value>
        </values>
      </ddeItem>
      <ddeItem name="ai[160].isCorrect" advise="1">
        <values>
          <value>
            <val>0</val>
          </value>
        </values>
      </ddeItem>
      <ddeItem name="ai[160].isCut" advise="1"/>
      <ddeItem name="ai[160].isForce" advise="1">
        <values>
          <value>
            <val>0</val>
          </value>
        </values>
      </ddeItem>
      <ddeItem name="ai[160].isInvScale" advise="1">
        <values>
          <value>
            <val>0</val>
          </value>
        </values>
      </ddeItem>
      <ddeItem name="ai[160].L.EN" advise="1">
        <values>
          <value>
            <val>0</val>
          </value>
        </values>
      </ddeItem>
      <ddeItem name="ai[160].L.fix" advise="1">
        <values>
          <value>
            <val>0</val>
          </value>
        </values>
      </ddeItem>
      <ddeItem name="ai[160].L.V" advise="1">
        <values>
          <value>
            <val>0</val>
          </value>
        </values>
      </ddeItem>
      <ddeItem name="ai[160].LL.EN" advise="1">
        <values>
          <value>
            <val>0</val>
          </value>
        </values>
      </ddeItem>
      <ddeItem name="ai[160].LL.fix" advise="1">
        <values>
          <value>
            <val>0</val>
          </value>
        </values>
      </ddeItem>
      <ddeItem name="ai[160].LL.V" advise="1">
        <values>
          <value>
            <val>0</val>
          </value>
        </values>
      </ddeItem>
      <ddeItem name="ai[160].RH.EN" advise="1">
        <values>
          <value>
            <val>1</val>
          </value>
        </values>
      </ddeItem>
      <ddeItem name="ai[160].RH.fix" advise="1">
        <values>
          <value>
            <val>0</val>
          </value>
        </values>
      </ddeItem>
      <ddeItem name="ai[160].RH.V" advise="1">
        <values>
          <value>
            <val>40</val>
          </value>
        </values>
      </ddeItem>
      <ddeItem name="ai[160].RL.EN" advise="1">
        <values>
          <value>
            <val>1</val>
          </value>
        </values>
      </ddeItem>
      <ddeItem name="ai[160].RL.fix" advise="1">
        <values>
          <value>
            <val>0</val>
          </value>
        </values>
      </ddeItem>
      <ddeItem name="ai[160].RL.V" advise="1">
        <values>
          <value>
            <val>5</val>
          </value>
        </values>
      </ddeItem>
      <ddeItem name="ai[160].state" advise="1">
        <values>
          <value>
            <val>4</val>
          </value>
        </values>
      </ddeItem>
      <ddeItem name="ai[160].v" advise="1">
        <values>
          <value>
            <val>0</val>
          </value>
        </values>
      </ddeItem>
      <ddeItem name="ai[160].vCorrect" advise="1"/>
      <ddeItem name="ai[160].vCut" advise="1"/>
      <ddeItem name="ai[160].vRaw" advise="1"/>
      <ddeItem name="ai[160].ZH" advise="1">
        <values>
          <value>
            <val>50</val>
          </value>
        </values>
      </ddeItem>
      <ddeItem name="ai[160].ZL" advise="1">
        <values>
          <value>
            <val>-50</val>
          </value>
        </values>
      </ddeItem>
      <ddeItem name="ai[161].break.sgn" advise="1">
        <values>
          <value>
            <val>1</val>
          </value>
        </values>
      </ddeItem>
      <ddeItem name="ai[161].EN" advise="1">
        <values>
          <value>
            <val>1</val>
          </value>
        </values>
      </ddeItem>
      <ddeItem name="ai[161].group" advise="1">
        <values>
          <value>
            <val>4</val>
          </value>
        </values>
      </ddeItem>
      <ddeItem name="ai[161].H.EN" advise="1">
        <values>
          <value>
            <val>0</val>
          </value>
        </values>
      </ddeItem>
      <ddeItem name="ai[161].H.fix" advise="1">
        <values>
          <value>
            <val>0</val>
          </value>
        </values>
      </ddeItem>
      <ddeItem name="ai[161].H.V" advise="1">
        <values>
          <value>
            <val>0</val>
          </value>
        </values>
      </ddeItem>
      <ddeItem name="ai[161].HH.EN" advise="1">
        <values>
          <value>
            <val>0</val>
          </value>
        </values>
      </ddeItem>
      <ddeItem name="ai[161].HH.fix" advise="1">
        <values>
          <value>
            <val>0</val>
          </value>
        </values>
      </ddeItem>
      <ddeItem name="ai[161].HH.V" advise="1">
        <values>
          <value>
            <val>0</val>
          </value>
        </values>
      </ddeItem>
      <ddeItem name="ai[161].i" advise="1">
        <values>
          <value>
            <val>5.0249099999999996E-3</val>
          </value>
        </values>
      </ddeItem>
      <ddeItem name="ai[161].isCorrect" advise="1">
        <values>
          <value>
            <val>0</val>
          </value>
        </values>
      </ddeItem>
      <ddeItem name="ai[161].isCut" advise="1"/>
      <ddeItem name="ai[161].isForce" advise="1">
        <values>
          <value>
            <val>0</val>
          </value>
        </values>
      </ddeItem>
      <ddeItem name="ai[161].isInvScale" advise="1">
        <values>
          <value>
            <val>0</val>
          </value>
        </values>
      </ddeItem>
      <ddeItem name="ai[161].L.EN" advise="1">
        <values>
          <value>
            <val>0</val>
          </value>
        </values>
      </ddeItem>
      <ddeItem name="ai[161].L.fix" advise="1">
        <values>
          <value>
            <val>0</val>
          </value>
        </values>
      </ddeItem>
      <ddeItem name="ai[161].L.V" advise="1">
        <values>
          <value>
            <val>0</val>
          </value>
        </values>
      </ddeItem>
      <ddeItem name="ai[161].LL.EN" advise="1">
        <values>
          <value>
            <val>0</val>
          </value>
        </values>
      </ddeItem>
      <ddeItem name="ai[161].LL.fix" advise="1">
        <values>
          <value>
            <val>0</val>
          </value>
        </values>
      </ddeItem>
      <ddeItem name="ai[161].LL.V" advise="1">
        <values>
          <value>
            <val>0</val>
          </value>
        </values>
      </ddeItem>
      <ddeItem name="ai[161].RH.EN" advise="1">
        <values>
          <value>
            <val>1</val>
          </value>
        </values>
      </ddeItem>
      <ddeItem name="ai[161].RH.fix" advise="1">
        <values>
          <value>
            <val>0</val>
          </value>
        </values>
      </ddeItem>
      <ddeItem name="ai[161].RH.V" advise="1">
        <values>
          <value>
            <val>60</val>
          </value>
        </values>
      </ddeItem>
      <ddeItem name="ai[161].RL.EN" advise="1">
        <values>
          <value>
            <val>1</val>
          </value>
        </values>
      </ddeItem>
      <ddeItem name="ai[161].RL.fix" advise="1">
        <values>
          <value>
            <val>0</val>
          </value>
        </values>
      </ddeItem>
      <ddeItem name="ai[161].RL.V" advise="1">
        <values>
          <value>
            <val>30</val>
          </value>
        </values>
      </ddeItem>
      <ddeItem name="ai[161].state" advise="1">
        <values>
          <value>
            <val>4</val>
          </value>
        </values>
      </ddeItem>
      <ddeItem name="ai[161].v" advise="1">
        <values>
          <value>
            <val>0</val>
          </value>
        </values>
      </ddeItem>
      <ddeItem name="ai[161].vCorrect" advise="1"/>
      <ddeItem name="ai[161].vCut" advise="1"/>
      <ddeItem name="ai[161].vRaw" advise="1"/>
      <ddeItem name="ai[161].ZH" advise="1">
        <values>
          <value>
            <val>100</val>
          </value>
        </values>
      </ddeItem>
      <ddeItem name="ai[161].ZL" advise="1">
        <values>
          <value>
            <val>0</val>
          </value>
        </values>
      </ddeItem>
      <ddeItem name="ai[162].break.sgn" advise="1">
        <values>
          <value>
            <val>1</val>
          </value>
        </values>
      </ddeItem>
      <ddeItem name="ai[162].EN" advise="1">
        <values>
          <value>
            <val>1</val>
          </value>
        </values>
      </ddeItem>
      <ddeItem name="ai[162].group" advise="1">
        <values>
          <value>
            <val>4</val>
          </value>
        </values>
      </ddeItem>
      <ddeItem name="ai[162].H.EN" advise="1">
        <values>
          <value>
            <val>0</val>
          </value>
        </values>
      </ddeItem>
      <ddeItem name="ai[162].H.fix" advise="1">
        <values>
          <value>
            <val>0</val>
          </value>
        </values>
      </ddeItem>
      <ddeItem name="ai[162].H.V" advise="1">
        <values>
          <value>
            <val>0</val>
          </value>
        </values>
      </ddeItem>
      <ddeItem name="ai[162].HH.EN" advise="1">
        <values>
          <value>
            <val>0</val>
          </value>
        </values>
      </ddeItem>
      <ddeItem name="ai[162].HH.fix" advise="1">
        <values>
          <value>
            <val>0</val>
          </value>
        </values>
      </ddeItem>
      <ddeItem name="ai[162].HH.V" advise="1">
        <values>
          <value>
            <val>0</val>
          </value>
        </values>
      </ddeItem>
      <ddeItem name="ai[162].i" advise="1">
        <values>
          <value>
            <val>4.7111510000000002E-3</val>
          </value>
        </values>
      </ddeItem>
      <ddeItem name="ai[162].isCorrect" advise="1">
        <values>
          <value>
            <val>0</val>
          </value>
        </values>
      </ddeItem>
      <ddeItem name="ai[162].isCut" advise="1"/>
      <ddeItem name="ai[162].isForce" advise="1">
        <values>
          <value>
            <val>0</val>
          </value>
        </values>
      </ddeItem>
      <ddeItem name="ai[162].isInvScale" advise="1">
        <values>
          <value>
            <val>0</val>
          </value>
        </values>
      </ddeItem>
      <ddeItem name="ai[162].L.EN" advise="1">
        <values>
          <value>
            <val>0</val>
          </value>
        </values>
      </ddeItem>
      <ddeItem name="ai[162].L.fix" advise="1">
        <values>
          <value>
            <val>0</val>
          </value>
        </values>
      </ddeItem>
      <ddeItem name="ai[162].L.V" advise="1">
        <values>
          <value>
            <val>0</val>
          </value>
        </values>
      </ddeItem>
      <ddeItem name="ai[162].LL.EN" advise="1">
        <values>
          <value>
            <val>0</val>
          </value>
        </values>
      </ddeItem>
      <ddeItem name="ai[162].LL.fix" advise="1">
        <values>
          <value>
            <val>0</val>
          </value>
        </values>
      </ddeItem>
      <ddeItem name="ai[162].LL.V" advise="1">
        <values>
          <value>
            <val>0</val>
          </value>
        </values>
      </ddeItem>
      <ddeItem name="ai[162].RH.EN" advise="1">
        <values>
          <value>
            <val>1</val>
          </value>
        </values>
      </ddeItem>
      <ddeItem name="ai[162].RH.fix" advise="1">
        <values>
          <value>
            <val>0</val>
          </value>
        </values>
      </ddeItem>
      <ddeItem name="ai[162].RH.V" advise="1">
        <values>
          <value>
            <val>50</val>
          </value>
        </values>
      </ddeItem>
      <ddeItem name="ai[162].RL.EN" advise="1">
        <values>
          <value>
            <val>1</val>
          </value>
        </values>
      </ddeItem>
      <ddeItem name="ai[162].RL.fix" advise="1">
        <values>
          <value>
            <val>0</val>
          </value>
        </values>
      </ddeItem>
      <ddeItem name="ai[162].RL.V" advise="1">
        <values>
          <value>
            <val>30</val>
          </value>
        </values>
      </ddeItem>
      <ddeItem name="ai[162].state" advise="1">
        <values>
          <value>
            <val>4</val>
          </value>
        </values>
      </ddeItem>
      <ddeItem name="ai[162].v" advise="1">
        <values>
          <value>
            <val>0</val>
          </value>
        </values>
      </ddeItem>
      <ddeItem name="ai[162].vCorrect" advise="1"/>
      <ddeItem name="ai[162].vCut" advise="1"/>
      <ddeItem name="ai[162].vRaw" advise="1"/>
      <ddeItem name="ai[162].ZH" advise="1">
        <values>
          <value>
            <val>100</val>
          </value>
        </values>
      </ddeItem>
      <ddeItem name="ai[162].ZL" advise="1">
        <values>
          <value>
            <val>0</val>
          </value>
        </values>
      </ddeItem>
      <ddeItem name="ai[163].break.sgn" advise="1">
        <values>
          <value>
            <val>1</val>
          </value>
        </values>
      </ddeItem>
      <ddeItem name="ai[163].EN" advise="1">
        <values>
          <value>
            <val>1</val>
          </value>
        </values>
      </ddeItem>
      <ddeItem name="ai[163].group" advise="1">
        <values>
          <value>
            <val>4</val>
          </value>
        </values>
      </ddeItem>
      <ddeItem name="ai[163].H.EN" advise="1">
        <values>
          <value>
            <val>0</val>
          </value>
        </values>
      </ddeItem>
      <ddeItem name="ai[163].H.fix" advise="1">
        <values>
          <value>
            <val>0</val>
          </value>
        </values>
      </ddeItem>
      <ddeItem name="ai[163].H.V" advise="1">
        <values>
          <value>
            <val>0</val>
          </value>
        </values>
      </ddeItem>
      <ddeItem name="ai[163].HH.EN" advise="1">
        <values>
          <value>
            <val>0</val>
          </value>
        </values>
      </ddeItem>
      <ddeItem name="ai[163].HH.fix" advise="1">
        <values>
          <value>
            <val>0</val>
          </value>
        </values>
      </ddeItem>
      <ddeItem name="ai[163].HH.V" advise="1">
        <values>
          <value>
            <val>0</val>
          </value>
        </values>
      </ddeItem>
      <ddeItem name="ai[163].i" advise="1">
        <values>
          <value>
            <val>4.7111510000000002E-3</val>
          </value>
        </values>
      </ddeItem>
      <ddeItem name="ai[163].isCorrect" advise="1">
        <values>
          <value>
            <val>0</val>
          </value>
        </values>
      </ddeItem>
      <ddeItem name="ai[163].isCut" advise="1"/>
      <ddeItem name="ai[163].isForce" advise="1">
        <values>
          <value>
            <val>0</val>
          </value>
        </values>
      </ddeItem>
      <ddeItem name="ai[163].isInvScale" advise="1">
        <values>
          <value>
            <val>0</val>
          </value>
        </values>
      </ddeItem>
      <ddeItem name="ai[163].L.EN" advise="1">
        <values>
          <value>
            <val>0</val>
          </value>
        </values>
      </ddeItem>
      <ddeItem name="ai[163].L.fix" advise="1">
        <values>
          <value>
            <val>0</val>
          </value>
        </values>
      </ddeItem>
      <ddeItem name="ai[163].L.V" advise="1">
        <values>
          <value>
            <val>0</val>
          </value>
        </values>
      </ddeItem>
      <ddeItem name="ai[163].LL.EN" advise="1">
        <values>
          <value>
            <val>0</val>
          </value>
        </values>
      </ddeItem>
      <ddeItem name="ai[163].LL.fix" advise="1">
        <values>
          <value>
            <val>0</val>
          </value>
        </values>
      </ddeItem>
      <ddeItem name="ai[163].LL.V" advise="1">
        <values>
          <value>
            <val>0</val>
          </value>
        </values>
      </ddeItem>
      <ddeItem name="ai[163].RH.EN" advise="1">
        <values>
          <value>
            <val>1</val>
          </value>
        </values>
      </ddeItem>
      <ddeItem name="ai[163].RH.fix" advise="1">
        <values>
          <value>
            <val>0</val>
          </value>
        </values>
      </ddeItem>
      <ddeItem name="ai[163].RH.V" advise="1">
        <values>
          <value>
            <val>80</val>
          </value>
        </values>
      </ddeItem>
      <ddeItem name="ai[163].RL.EN" advise="1">
        <values>
          <value>
            <val>1</val>
          </value>
        </values>
      </ddeItem>
      <ddeItem name="ai[163].RL.fix" advise="1">
        <values>
          <value>
            <val>0</val>
          </value>
        </values>
      </ddeItem>
      <ddeItem name="ai[163].RL.V" advise="1">
        <values>
          <value>
            <val>20</val>
          </value>
        </values>
      </ddeItem>
      <ddeItem name="ai[163].state" advise="1">
        <values>
          <value>
            <val>4</val>
          </value>
        </values>
      </ddeItem>
      <ddeItem name="ai[163].v" advise="1">
        <values>
          <value>
            <val>0</val>
          </value>
        </values>
      </ddeItem>
      <ddeItem name="ai[163].vCorrect" advise="1"/>
      <ddeItem name="ai[163].vCut" advise="1"/>
      <ddeItem name="ai[163].vRaw" advise="1"/>
      <ddeItem name="ai[163].ZH" advise="1">
        <values>
          <value>
            <val>100</val>
          </value>
        </values>
      </ddeItem>
      <ddeItem name="ai[163].ZL" advise="1">
        <values>
          <value>
            <val>0</val>
          </value>
        </values>
      </ddeItem>
      <ddeItem name="ai[164].break.sgn" advise="1">
        <values>
          <value>
            <val>1</val>
          </value>
        </values>
      </ddeItem>
      <ddeItem name="ai[164].EN" advise="1">
        <values>
          <value>
            <val>1</val>
          </value>
        </values>
      </ddeItem>
      <ddeItem name="ai[164].group" advise="1">
        <values>
          <value>
            <val>4</val>
          </value>
        </values>
      </ddeItem>
      <ddeItem name="ai[164].H.EN" advise="1">
        <values>
          <value>
            <val>0</val>
          </value>
        </values>
      </ddeItem>
      <ddeItem name="ai[164].H.fix" advise="1">
        <values>
          <value>
            <val>0</val>
          </value>
        </values>
      </ddeItem>
      <ddeItem name="ai[164].H.V" advise="1">
        <values>
          <value>
            <val>0</val>
          </value>
        </values>
      </ddeItem>
      <ddeItem name="ai[164].HH.EN" advise="1">
        <values>
          <value>
            <val>0</val>
          </value>
        </values>
      </ddeItem>
      <ddeItem name="ai[164].HH.fix" advise="1">
        <values>
          <value>
            <val>0</val>
          </value>
        </values>
      </ddeItem>
      <ddeItem name="ai[164].HH.V" advise="1">
        <values>
          <value>
            <val>0</val>
          </value>
        </values>
      </ddeItem>
      <ddeItem name="ai[164].i" advise="1">
        <values>
          <value>
            <val>2.5129319999999998E-3</val>
          </value>
        </values>
      </ddeItem>
      <ddeItem name="ai[164].isCorrect" advise="1">
        <values>
          <value>
            <val>0</val>
          </value>
        </values>
      </ddeItem>
      <ddeItem name="ai[164].isCut" advise="1"/>
      <ddeItem name="ai[164].isForce" advise="1">
        <values>
          <value>
            <val>0</val>
          </value>
        </values>
      </ddeItem>
      <ddeItem name="ai[164].isInvScale" advise="1">
        <values>
          <value>
            <val>0</val>
          </value>
        </values>
      </ddeItem>
      <ddeItem name="ai[164].L.EN" advise="1">
        <values>
          <value>
            <val>0</val>
          </value>
        </values>
      </ddeItem>
      <ddeItem name="ai[164].L.fix" advise="1">
        <values>
          <value>
            <val>0</val>
          </value>
        </values>
      </ddeItem>
      <ddeItem name="ai[164].L.V" advise="1">
        <values>
          <value>
            <val>0</val>
          </value>
        </values>
      </ddeItem>
      <ddeItem name="ai[164].LL.EN" advise="1">
        <values>
          <value>
            <val>0</val>
          </value>
        </values>
      </ddeItem>
      <ddeItem name="ai[164].LL.fix" advise="1">
        <values>
          <value>
            <val>0</val>
          </value>
        </values>
      </ddeItem>
      <ddeItem name="ai[164].LL.V" advise="1">
        <values>
          <value>
            <val>0</val>
          </value>
        </values>
      </ddeItem>
      <ddeItem name="ai[164].RH.EN" advise="1">
        <values>
          <value>
            <val>1</val>
          </value>
        </values>
      </ddeItem>
      <ddeItem name="ai[164].RH.fix" advise="1">
        <values>
          <value>
            <val>0</val>
          </value>
        </values>
      </ddeItem>
      <ddeItem name="ai[164].RH.V" advise="1">
        <values>
          <value>
            <val>80</val>
          </value>
        </values>
      </ddeItem>
      <ddeItem name="ai[164].RL.EN" advise="1">
        <values>
          <value>
            <val>1</val>
          </value>
        </values>
      </ddeItem>
      <ddeItem name="ai[164].RL.fix" advise="1">
        <values>
          <value>
            <val>0</val>
          </value>
        </values>
      </ddeItem>
      <ddeItem name="ai[164].RL.V" advise="1">
        <values>
          <value>
            <val>20</val>
          </value>
        </values>
      </ddeItem>
      <ddeItem name="ai[164].state" advise="1">
        <values>
          <value>
            <val>4</val>
          </value>
        </values>
      </ddeItem>
      <ddeItem name="ai[164].v" advise="1">
        <values>
          <value>
            <val>0</val>
          </value>
        </values>
      </ddeItem>
      <ddeItem name="ai[164].vCorrect" advise="1"/>
      <ddeItem name="ai[164].vCut" advise="1"/>
      <ddeItem name="ai[164].vRaw" advise="1"/>
      <ddeItem name="ai[164].ZH" advise="1">
        <values>
          <value>
            <val>100</val>
          </value>
        </values>
      </ddeItem>
      <ddeItem name="ai[164].ZL" advise="1">
        <values>
          <value>
            <val>0</val>
          </value>
        </values>
      </ddeItem>
      <ddeItem name="ai[165].break.sgn" advise="1">
        <values>
          <value>
            <val>1</val>
          </value>
        </values>
      </ddeItem>
      <ddeItem name="ai[165].EN" advise="1">
        <values>
          <value>
            <val>1</val>
          </value>
        </values>
      </ddeItem>
      <ddeItem name="ai[165].group" advise="1">
        <values>
          <value>
            <val>4</val>
          </value>
        </values>
      </ddeItem>
      <ddeItem name="ai[165].H.EN" advise="1">
        <values>
          <value>
            <val>0</val>
          </value>
        </values>
      </ddeItem>
      <ddeItem name="ai[165].H.fix" advise="1">
        <values>
          <value>
            <val>0</val>
          </value>
        </values>
      </ddeItem>
      <ddeItem name="ai[165].H.V" advise="1">
        <values>
          <value>
            <val>0</val>
          </value>
        </values>
      </ddeItem>
      <ddeItem name="ai[165].HH.EN" advise="1">
        <values>
          <value>
            <val>0</val>
          </value>
        </values>
      </ddeItem>
      <ddeItem name="ai[165].HH.fix" advise="1">
        <values>
          <value>
            <val>0</val>
          </value>
        </values>
      </ddeItem>
      <ddeItem name="ai[165].HH.V" advise="1">
        <values>
          <value>
            <val>0</val>
          </value>
        </values>
      </ddeItem>
      <ddeItem name="ai[165].i" advise="1">
        <values>
          <value>
            <val>2.8266910000000001E-3</val>
          </value>
        </values>
      </ddeItem>
      <ddeItem name="ai[165].isCorrect" advise="1">
        <values>
          <value>
            <val>0</val>
          </value>
        </values>
      </ddeItem>
      <ddeItem name="ai[165].isCut" advise="1"/>
      <ddeItem name="ai[165].isForce" advise="1">
        <values>
          <value>
            <val>0</val>
          </value>
        </values>
      </ddeItem>
      <ddeItem name="ai[165].isInvScale" advise="1">
        <values>
          <value>
            <val>0</val>
          </value>
        </values>
      </ddeItem>
      <ddeItem name="ai[165].L.EN" advise="1">
        <values>
          <value>
            <val>0</val>
          </value>
        </values>
      </ddeItem>
      <ddeItem name="ai[165].L.fix" advise="1">
        <values>
          <value>
            <val>0</val>
          </value>
        </values>
      </ddeItem>
      <ddeItem name="ai[165].L.V" advise="1">
        <values>
          <value>
            <val>0</val>
          </value>
        </values>
      </ddeItem>
      <ddeItem name="ai[165].LL.EN" advise="1">
        <values>
          <value>
            <val>0</val>
          </value>
        </values>
      </ddeItem>
      <ddeItem name="ai[165].LL.fix" advise="1">
        <values>
          <value>
            <val>0</val>
          </value>
        </values>
      </ddeItem>
      <ddeItem name="ai[165].LL.V" advise="1">
        <values>
          <value>
            <val>0</val>
          </value>
        </values>
      </ddeItem>
      <ddeItem name="ai[165].RH.EN" advise="1">
        <values>
          <value>
            <val>1</val>
          </value>
        </values>
      </ddeItem>
      <ddeItem name="ai[165].RH.fix" advise="1">
        <values>
          <value>
            <val>0</val>
          </value>
        </values>
      </ddeItem>
      <ddeItem name="ai[165].RH.V" advise="1">
        <values>
          <value>
            <val>80</val>
          </value>
        </values>
      </ddeItem>
      <ddeItem name="ai[165].RL.EN" advise="1">
        <values>
          <value>
            <val>1</val>
          </value>
        </values>
      </ddeItem>
      <ddeItem name="ai[165].RL.fix" advise="1">
        <values>
          <value>
            <val>0</val>
          </value>
        </values>
      </ddeItem>
      <ddeItem name="ai[165].RL.V" advise="1">
        <values>
          <value>
            <val>20</val>
          </value>
        </values>
      </ddeItem>
      <ddeItem name="ai[165].state" advise="1">
        <values>
          <value>
            <val>4</val>
          </value>
        </values>
      </ddeItem>
      <ddeItem name="ai[165].v" advise="1">
        <values>
          <value>
            <val>0</val>
          </value>
        </values>
      </ddeItem>
      <ddeItem name="ai[165].vCorrect" advise="1"/>
      <ddeItem name="ai[165].vCut" advise="1"/>
      <ddeItem name="ai[165].vRaw" advise="1"/>
      <ddeItem name="ai[165].ZH" advise="1">
        <values>
          <value>
            <val>100</val>
          </value>
        </values>
      </ddeItem>
      <ddeItem name="ai[165].ZL" advise="1">
        <values>
          <value>
            <val>0</val>
          </value>
        </values>
      </ddeItem>
      <ddeItem name="ai[166].break.sgn" advise="1">
        <values>
          <value>
            <val>1</val>
          </value>
        </values>
      </ddeItem>
      <ddeItem name="ai[166].EN" advise="1">
        <values>
          <value>
            <val>1</val>
          </value>
        </values>
      </ddeItem>
      <ddeItem name="ai[166].group" advise="1">
        <values>
          <value>
            <val>4</val>
          </value>
        </values>
      </ddeItem>
      <ddeItem name="ai[166].H.EN" advise="1">
        <values>
          <value>
            <val>0</val>
          </value>
        </values>
      </ddeItem>
      <ddeItem name="ai[166].H.fix" advise="1">
        <values>
          <value>
            <val>0</val>
          </value>
        </values>
      </ddeItem>
      <ddeItem name="ai[166].H.V" advise="1">
        <values>
          <value>
            <val>0</val>
          </value>
        </values>
      </ddeItem>
      <ddeItem name="ai[166].HH.EN" advise="1">
        <values>
          <value>
            <val>0</val>
          </value>
        </values>
      </ddeItem>
      <ddeItem name="ai[166].HH.fix" advise="1">
        <values>
          <value>
            <val>0</val>
          </value>
        </values>
      </ddeItem>
      <ddeItem name="ai[166].HH.V" advise="1">
        <values>
          <value>
            <val>0</val>
          </value>
        </values>
      </ddeItem>
      <ddeItem name="ai[166].i" advise="1">
        <values>
          <value>
            <val>2.8266910000000001E-3</val>
          </value>
        </values>
      </ddeItem>
      <ddeItem name="ai[166].isCorrect" advise="1">
        <values>
          <value>
            <val>0</val>
          </value>
        </values>
      </ddeItem>
      <ddeItem name="ai[166].isCut" advise="1"/>
      <ddeItem name="ai[166].isForce" advise="1">
        <values>
          <value>
            <val>0</val>
          </value>
        </values>
      </ddeItem>
      <ddeItem name="ai[166].isInvScale" advise="1">
        <values>
          <value>
            <val>0</val>
          </value>
        </values>
      </ddeItem>
      <ddeItem name="ai[166].L.EN" advise="1">
        <values>
          <value>
            <val>0</val>
          </value>
        </values>
      </ddeItem>
      <ddeItem name="ai[166].L.fix" advise="1">
        <values>
          <value>
            <val>0</val>
          </value>
        </values>
      </ddeItem>
      <ddeItem name="ai[166].L.V" advise="1">
        <values>
          <value>
            <val>0</val>
          </value>
        </values>
      </ddeItem>
      <ddeItem name="ai[166].LL.EN" advise="1">
        <values>
          <value>
            <val>0</val>
          </value>
        </values>
      </ddeItem>
      <ddeItem name="ai[166].LL.fix" advise="1">
        <values>
          <value>
            <val>0</val>
          </value>
        </values>
      </ddeItem>
      <ddeItem name="ai[166].LL.V" advise="1">
        <values>
          <value>
            <val>0</val>
          </value>
        </values>
      </ddeItem>
      <ddeItem name="ai[166].RH.EN" advise="1">
        <values>
          <value>
            <val>1</val>
          </value>
        </values>
      </ddeItem>
      <ddeItem name="ai[166].RH.fix" advise="1">
        <values>
          <value>
            <val>0</val>
          </value>
        </values>
      </ddeItem>
      <ddeItem name="ai[166].RH.V" advise="1">
        <values>
          <value>
            <val>80</val>
          </value>
        </values>
      </ddeItem>
      <ddeItem name="ai[166].RL.EN" advise="1">
        <values>
          <value>
            <val>1</val>
          </value>
        </values>
      </ddeItem>
      <ddeItem name="ai[166].RL.fix" advise="1">
        <values>
          <value>
            <val>0</val>
          </value>
        </values>
      </ddeItem>
      <ddeItem name="ai[166].RL.V" advise="1">
        <values>
          <value>
            <val>20</val>
          </value>
        </values>
      </ddeItem>
      <ddeItem name="ai[166].state" advise="1">
        <values>
          <value>
            <val>4</val>
          </value>
        </values>
      </ddeItem>
      <ddeItem name="ai[166].v" advise="1">
        <values>
          <value>
            <val>0</val>
          </value>
        </values>
      </ddeItem>
      <ddeItem name="ai[166].vCorrect" advise="1"/>
      <ddeItem name="ai[166].vCut" advise="1"/>
      <ddeItem name="ai[166].vRaw" advise="1"/>
      <ddeItem name="ai[166].ZH" advise="1">
        <values>
          <value>
            <val>100</val>
          </value>
        </values>
      </ddeItem>
      <ddeItem name="ai[166].ZL" advise="1">
        <values>
          <value>
            <val>0</val>
          </value>
        </values>
      </ddeItem>
      <ddeItem name="ai[167].break.sgn" advise="1">
        <values>
          <value>
            <val>1</val>
          </value>
        </values>
      </ddeItem>
      <ddeItem name="ai[167].EN" advise="1">
        <values>
          <value>
            <val>1</val>
          </value>
        </values>
      </ddeItem>
      <ddeItem name="ai[167].group" advise="1">
        <values>
          <value>
            <val>4</val>
          </value>
        </values>
      </ddeItem>
      <ddeItem name="ai[167].H.EN" advise="1">
        <values>
          <value>
            <val>0</val>
          </value>
        </values>
      </ddeItem>
      <ddeItem name="ai[167].H.fix" advise="1">
        <values>
          <value>
            <val>0</val>
          </value>
        </values>
      </ddeItem>
      <ddeItem name="ai[167].H.V" advise="1">
        <values>
          <value>
            <val>0</val>
          </value>
        </values>
      </ddeItem>
      <ddeItem name="ai[167].HH.EN" advise="1">
        <values>
          <value>
            <val>0</val>
          </value>
        </values>
      </ddeItem>
      <ddeItem name="ai[167].HH.fix" advise="1">
        <values>
          <value>
            <val>0</val>
          </value>
        </values>
      </ddeItem>
      <ddeItem name="ai[167].HH.V" advise="1">
        <values>
          <value>
            <val>0</val>
          </value>
        </values>
      </ddeItem>
      <ddeItem name="ai[167].i" advise="1">
        <values>
          <value>
            <val>2.8266910000000001E-3</val>
          </value>
        </values>
      </ddeItem>
      <ddeItem name="ai[167].isCorrect" advise="1">
        <values>
          <value>
            <val>0</val>
          </value>
        </values>
      </ddeItem>
      <ddeItem name="ai[167].isCut" advise="1"/>
      <ddeItem name="ai[167].isForce" advise="1">
        <values>
          <value>
            <val>0</val>
          </value>
        </values>
      </ddeItem>
      <ddeItem name="ai[167].isInvScale" advise="1">
        <values>
          <value>
            <val>0</val>
          </value>
        </values>
      </ddeItem>
      <ddeItem name="ai[167].L.EN" advise="1">
        <values>
          <value>
            <val>0</val>
          </value>
        </values>
      </ddeItem>
      <ddeItem name="ai[167].L.fix" advise="1">
        <values>
          <value>
            <val>0</val>
          </value>
        </values>
      </ddeItem>
      <ddeItem name="ai[167].L.V" advise="1">
        <values>
          <value>
            <val>0</val>
          </value>
        </values>
      </ddeItem>
      <ddeItem name="ai[167].LL.EN" advise="1">
        <values>
          <value>
            <val>0</val>
          </value>
        </values>
      </ddeItem>
      <ddeItem name="ai[167].LL.fix" advise="1">
        <values>
          <value>
            <val>0</val>
          </value>
        </values>
      </ddeItem>
      <ddeItem name="ai[167].LL.V" advise="1">
        <values>
          <value>
            <val>0</val>
          </value>
        </values>
      </ddeItem>
      <ddeItem name="ai[167].RH.EN" advise="1">
        <values>
          <value>
            <val>1</val>
          </value>
        </values>
      </ddeItem>
      <ddeItem name="ai[167].RH.fix" advise="1">
        <values>
          <value>
            <val>0</val>
          </value>
        </values>
      </ddeItem>
      <ddeItem name="ai[167].RH.V" advise="1">
        <values>
          <value>
            <val>80</val>
          </value>
        </values>
      </ddeItem>
      <ddeItem name="ai[167].RL.EN" advise="1">
        <values>
          <value>
            <val>1</val>
          </value>
        </values>
      </ddeItem>
      <ddeItem name="ai[167].RL.fix" advise="1">
        <values>
          <value>
            <val>0</val>
          </value>
        </values>
      </ddeItem>
      <ddeItem name="ai[167].RL.V" advise="1">
        <values>
          <value>
            <val>20</val>
          </value>
        </values>
      </ddeItem>
      <ddeItem name="ai[167].state" advise="1">
        <values>
          <value>
            <val>4</val>
          </value>
        </values>
      </ddeItem>
      <ddeItem name="ai[167].v" advise="1">
        <values>
          <value>
            <val>0</val>
          </value>
        </values>
      </ddeItem>
      <ddeItem name="ai[167].vCorrect" advise="1"/>
      <ddeItem name="ai[167].vCut" advise="1"/>
      <ddeItem name="ai[167].vRaw" advise="1"/>
      <ddeItem name="ai[167].ZH" advise="1">
        <values>
          <value>
            <val>100</val>
          </value>
        </values>
      </ddeItem>
      <ddeItem name="ai[167].ZL" advise="1">
        <values>
          <value>
            <val>0</val>
          </value>
        </values>
      </ddeItem>
      <ddeItem name="ai[168].break.sgn" advise="1">
        <values>
          <value>
            <val>1</val>
          </value>
        </values>
      </ddeItem>
      <ddeItem name="ai[168].EN" advise="1">
        <values>
          <value>
            <val>1</val>
          </value>
        </values>
      </ddeItem>
      <ddeItem name="ai[168].group" advise="1">
        <values>
          <value>
            <val>4</val>
          </value>
        </values>
      </ddeItem>
      <ddeItem name="ai[168].H.EN" advise="1">
        <values>
          <value>
            <val>0</val>
          </value>
        </values>
      </ddeItem>
      <ddeItem name="ai[168].H.fix" advise="1">
        <values>
          <value>
            <val>0</val>
          </value>
        </values>
      </ddeItem>
      <ddeItem name="ai[168].H.V" advise="1">
        <values>
          <value>
            <val>0</val>
          </value>
        </values>
      </ddeItem>
      <ddeItem name="ai[168].HH.EN" advise="1">
        <values>
          <value>
            <val>0</val>
          </value>
        </values>
      </ddeItem>
      <ddeItem name="ai[168].HH.fix" advise="1">
        <values>
          <value>
            <val>0</val>
          </value>
        </values>
      </ddeItem>
      <ddeItem name="ai[168].HH.V" advise="1">
        <values>
          <value>
            <val>0</val>
          </value>
        </values>
      </ddeItem>
      <ddeItem name="ai[168].i" advise="1">
        <values>
          <value>
            <val>1.8844599999999999E-3</val>
          </value>
        </values>
      </ddeItem>
      <ddeItem name="ai[168].isCorrect" advise="1">
        <values>
          <value>
            <val>0</val>
          </value>
        </values>
      </ddeItem>
      <ddeItem name="ai[168].isCut" advise="1"/>
      <ddeItem name="ai[168].isForce" advise="1">
        <values>
          <value>
            <val>0</val>
          </value>
        </values>
      </ddeItem>
      <ddeItem name="ai[168].isInvScale" advise="1">
        <values>
          <value>
            <val>0</val>
          </value>
        </values>
      </ddeItem>
      <ddeItem name="ai[168].L.EN" advise="1">
        <values>
          <value>
            <val>0</val>
          </value>
        </values>
      </ddeItem>
      <ddeItem name="ai[168].L.fix" advise="1">
        <values>
          <value>
            <val>0</val>
          </value>
        </values>
      </ddeItem>
      <ddeItem name="ai[168].L.V" advise="1">
        <values>
          <value>
            <val>0</val>
          </value>
        </values>
      </ddeItem>
      <ddeItem name="ai[168].LL.EN" advise="1">
        <values>
          <value>
            <val>0</val>
          </value>
        </values>
      </ddeItem>
      <ddeItem name="ai[168].LL.fix" advise="1">
        <values>
          <value>
            <val>0</val>
          </value>
        </values>
      </ddeItem>
      <ddeItem name="ai[168].LL.V" advise="1">
        <values>
          <value>
            <val>0</val>
          </value>
        </values>
      </ddeItem>
      <ddeItem name="ai[168].RH.EN" advise="1">
        <values>
          <value>
            <val>1</val>
          </value>
        </values>
      </ddeItem>
      <ddeItem name="ai[168].RH.fix" advise="1">
        <values>
          <value>
            <val>0</val>
          </value>
        </values>
      </ddeItem>
      <ddeItem name="ai[168].RH.V" advise="1">
        <values>
          <value>
            <val>80</val>
          </value>
        </values>
      </ddeItem>
      <ddeItem name="ai[168].RL.EN" advise="1">
        <values>
          <value>
            <val>1</val>
          </value>
        </values>
      </ddeItem>
      <ddeItem name="ai[168].RL.fix" advise="1">
        <values>
          <value>
            <val>0</val>
          </value>
        </values>
      </ddeItem>
      <ddeItem name="ai[168].RL.V" advise="1">
        <values>
          <value>
            <val>20</val>
          </value>
        </values>
      </ddeItem>
      <ddeItem name="ai[168].state" advise="1">
        <values>
          <value>
            <val>4</val>
          </value>
        </values>
      </ddeItem>
      <ddeItem name="ai[168].v" advise="1">
        <values>
          <value>
            <val>0</val>
          </value>
        </values>
      </ddeItem>
      <ddeItem name="ai[168].vCorrect" advise="1"/>
      <ddeItem name="ai[168].vCut" advise="1"/>
      <ddeItem name="ai[168].vRaw" advise="1"/>
      <ddeItem name="ai[168].ZH" advise="1">
        <values>
          <value>
            <val>100</val>
          </value>
        </values>
      </ddeItem>
      <ddeItem name="ai[168].ZL" advise="1">
        <values>
          <value>
            <val>0</val>
          </value>
        </values>
      </ddeItem>
      <ddeItem name="ai[169].break.sgn" advise="1">
        <values>
          <value>
            <val>1</val>
          </value>
        </values>
      </ddeItem>
      <ddeItem name="ai[169].EN" advise="1">
        <values>
          <value>
            <val>1</val>
          </value>
        </values>
      </ddeItem>
      <ddeItem name="ai[169].group" advise="1">
        <values>
          <value>
            <val>4</val>
          </value>
        </values>
      </ddeItem>
      <ddeItem name="ai[169].H.EN" advise="1">
        <values>
          <value>
            <val>0</val>
          </value>
        </values>
      </ddeItem>
      <ddeItem name="ai[169].H.fix" advise="1">
        <values>
          <value>
            <val>0</val>
          </value>
        </values>
      </ddeItem>
      <ddeItem name="ai[169].H.V" advise="1">
        <values>
          <value>
            <val>0</val>
          </value>
        </values>
      </ddeItem>
      <ddeItem name="ai[169].HH.EN" advise="1">
        <values>
          <value>
            <val>0</val>
          </value>
        </values>
      </ddeItem>
      <ddeItem name="ai[169].HH.fix" advise="1">
        <values>
          <value>
            <val>0</val>
          </value>
        </values>
      </ddeItem>
      <ddeItem name="ai[169].HH.V" advise="1">
        <values>
          <value>
            <val>0</val>
          </value>
        </values>
      </ddeItem>
      <ddeItem name="ai[169].i" advise="1">
        <values>
          <value>
            <val>2.198219E-3</val>
          </value>
        </values>
      </ddeItem>
      <ddeItem name="ai[169].isCorrect" advise="1">
        <values>
          <value>
            <val>0</val>
          </value>
        </values>
      </ddeItem>
      <ddeItem name="ai[169].isCut" advise="1"/>
      <ddeItem name="ai[169].isForce" advise="1">
        <values>
          <value>
            <val>0</val>
          </value>
        </values>
      </ddeItem>
      <ddeItem name="ai[169].isInvScale" advise="1">
        <values>
          <value>
            <val>0</val>
          </value>
        </values>
      </ddeItem>
      <ddeItem name="ai[169].L.EN" advise="1">
        <values>
          <value>
            <val>0</val>
          </value>
        </values>
      </ddeItem>
      <ddeItem name="ai[169].L.fix" advise="1">
        <values>
          <value>
            <val>0</val>
          </value>
        </values>
      </ddeItem>
      <ddeItem name="ai[169].L.V" advise="1">
        <values>
          <value>
            <val>0</val>
          </value>
        </values>
      </ddeItem>
      <ddeItem name="ai[169].LL.EN" advise="1">
        <values>
          <value>
            <val>0</val>
          </value>
        </values>
      </ddeItem>
      <ddeItem name="ai[169].LL.fix" advise="1">
        <values>
          <value>
            <val>0</val>
          </value>
        </values>
      </ddeItem>
      <ddeItem name="ai[169].LL.V" advise="1">
        <values>
          <value>
            <val>0</val>
          </value>
        </values>
      </ddeItem>
      <ddeItem name="ai[169].RH.EN" advise="1">
        <values>
          <value>
            <val>1</val>
          </value>
        </values>
      </ddeItem>
      <ddeItem name="ai[169].RH.fix" advise="1">
        <values>
          <value>
            <val>0</val>
          </value>
        </values>
      </ddeItem>
      <ddeItem name="ai[169].RH.V" advise="1">
        <values>
          <value>
            <val>170</val>
          </value>
        </values>
      </ddeItem>
      <ddeItem name="ai[169].RL.EN" advise="1">
        <values>
          <value>
            <val>1</val>
          </value>
        </values>
      </ddeItem>
      <ddeItem name="ai[169].RL.fix" advise="1">
        <values>
          <value>
            <val>0</val>
          </value>
        </values>
      </ddeItem>
      <ddeItem name="ai[169].RL.V" advise="1">
        <values>
          <value>
            <val>160</val>
          </value>
        </values>
      </ddeItem>
      <ddeItem name="ai[169].state" advise="1">
        <values>
          <value>
            <val>4</val>
          </value>
        </values>
      </ddeItem>
      <ddeItem name="ai[169].v" advise="1">
        <values>
          <value>
            <val>0</val>
          </value>
        </values>
      </ddeItem>
      <ddeItem name="ai[169].vCorrect" advise="1"/>
      <ddeItem name="ai[169].vCut" advise="1"/>
      <ddeItem name="ai[169].vRaw" advise="1"/>
      <ddeItem name="ai[169].ZH" advise="1">
        <values>
          <value>
            <val>300</val>
          </value>
        </values>
      </ddeItem>
      <ddeItem name="ai[169].ZL" advise="1">
        <values>
          <value>
            <val>0</val>
          </value>
        </values>
      </ddeItem>
      <ddeItem name="AI[17].break.sgn" advise="1">
        <values>
          <value>
            <val>1</val>
          </value>
        </values>
      </ddeItem>
      <ddeItem name="AI[17].EN" advise="1">
        <values>
          <value>
            <val>1</val>
          </value>
        </values>
      </ddeItem>
      <ddeItem name="AI[17].group" advise="1">
        <values>
          <value>
            <val>1</val>
          </value>
        </values>
      </ddeItem>
      <ddeItem name="AI[17].H.EN" advise="1">
        <values>
          <value>
            <val>0</val>
          </value>
        </values>
      </ddeItem>
      <ddeItem name="AI[17].H.fix" advise="1">
        <values>
          <value>
            <val>0</val>
          </value>
        </values>
      </ddeItem>
      <ddeItem name="AI[17].H.V" advise="1">
        <values>
          <value>
            <val>0</val>
          </value>
        </values>
      </ddeItem>
      <ddeItem name="AI[17].HH.EN" advise="1">
        <values>
          <value>
            <val>0</val>
          </value>
        </values>
      </ddeItem>
      <ddeItem name="AI[17].HH.fix" advise="1">
        <values>
          <value>
            <val>0</val>
          </value>
        </values>
      </ddeItem>
      <ddeItem name="AI[17].HH.V" advise="1">
        <values>
          <value>
            <val>0</val>
          </value>
        </values>
      </ddeItem>
      <ddeItem name="AI[17].i" advise="1">
        <values>
          <value>
            <val>4.7111510000000002E-3</val>
          </value>
        </values>
      </ddeItem>
      <ddeItem name="AI[17].isCorrect" advise="1">
        <values>
          <value>
            <val>0</val>
          </value>
        </values>
      </ddeItem>
      <ddeItem name="AI[17].isCut" advise="1"/>
      <ddeItem name="AI[17].isForce" advise="1">
        <values>
          <value>
            <val>0</val>
          </value>
        </values>
      </ddeItem>
      <ddeItem name="AI[17].isInvScale" advise="1">
        <values>
          <value>
            <val>0</val>
          </value>
        </values>
      </ddeItem>
      <ddeItem name="AI[17].L.EN" advise="1">
        <values>
          <value>
            <val>0</val>
          </value>
        </values>
      </ddeItem>
      <ddeItem name="AI[17].L.fix" advise="1">
        <values>
          <value>
            <val>0</val>
          </value>
        </values>
      </ddeItem>
      <ddeItem name="AI[17].L.V" advise="1">
        <values>
          <value>
            <val>0</val>
          </value>
        </values>
      </ddeItem>
      <ddeItem name="AI[17].LL.EN" advise="1">
        <values>
          <value>
            <val>0</val>
          </value>
        </values>
      </ddeItem>
      <ddeItem name="AI[17].LL.fix" advise="1">
        <values>
          <value>
            <val>0</val>
          </value>
        </values>
      </ddeItem>
      <ddeItem name="AI[17].LL.V" advise="1">
        <values>
          <value>
            <val>0</val>
          </value>
        </values>
      </ddeItem>
      <ddeItem name="AI[17].RH.EN" advise="1">
        <values>
          <value>
            <val>1</val>
          </value>
        </values>
      </ddeItem>
      <ddeItem name="AI[17].RH.fix" advise="1">
        <values>
          <value>
            <val>0</val>
          </value>
        </values>
      </ddeItem>
      <ddeItem name="AI[17].RH.V" advise="1">
        <values>
          <value>
            <val>60</val>
          </value>
        </values>
      </ddeItem>
      <ddeItem name="AI[17].RL.EN" advise="1">
        <values>
          <value>
            <val>1</val>
          </value>
        </values>
      </ddeItem>
      <ddeItem name="AI[17].RL.fix" advise="1">
        <values>
          <value>
            <val>0</val>
          </value>
        </values>
      </ddeItem>
      <ddeItem name="AI[17].RL.V" advise="1">
        <values>
          <value>
            <val>30</val>
          </value>
        </values>
      </ddeItem>
      <ddeItem name="AI[17].state" advise="1">
        <values>
          <value>
            <val>4</val>
          </value>
        </values>
      </ddeItem>
      <ddeItem name="AI[17].v" advise="1">
        <values>
          <value>
            <val>0</val>
          </value>
        </values>
      </ddeItem>
      <ddeItem name="AI[17].vCorrect" advise="1"/>
      <ddeItem name="AI[17].vCut" advise="1"/>
      <ddeItem name="AI[17].vRaw" advise="1"/>
      <ddeItem name="AI[17].ZH" advise="1">
        <values>
          <value>
            <val>100</val>
          </value>
        </values>
      </ddeItem>
      <ddeItem name="AI[17].ZL" advise="1">
        <values>
          <value>
            <val>0</val>
          </value>
        </values>
      </ddeItem>
      <ddeItem name="ai[170].break.sgn" advise="1">
        <values>
          <value>
            <val>1</val>
          </value>
        </values>
      </ddeItem>
      <ddeItem name="ai[170].EN" advise="1">
        <values>
          <value>
            <val>1</val>
          </value>
        </values>
      </ddeItem>
      <ddeItem name="ai[170].group" advise="1">
        <values>
          <value>
            <val>4</val>
          </value>
        </values>
      </ddeItem>
      <ddeItem name="ai[170].H.EN" advise="1">
        <values>
          <value>
            <val>0</val>
          </value>
        </values>
      </ddeItem>
      <ddeItem name="ai[170].H.fix" advise="1">
        <values>
          <value>
            <val>0</val>
          </value>
        </values>
      </ddeItem>
      <ddeItem name="ai[170].H.V" advise="1">
        <values>
          <value>
            <val>0</val>
          </value>
        </values>
      </ddeItem>
      <ddeItem name="ai[170].HH.EN" advise="1">
        <values>
          <value>
            <val>0</val>
          </value>
        </values>
      </ddeItem>
      <ddeItem name="ai[170].HH.fix" advise="1">
        <values>
          <value>
            <val>0</val>
          </value>
        </values>
      </ddeItem>
      <ddeItem name="ai[170].HH.V" advise="1">
        <values>
          <value>
            <val>0</val>
          </value>
        </values>
      </ddeItem>
      <ddeItem name="ai[170].i" advise="1">
        <values>
          <value>
            <val>1.8844599999999999E-3</val>
          </value>
        </values>
      </ddeItem>
      <ddeItem name="ai[170].isCorrect" advise="1">
        <values>
          <value>
            <val>0</val>
          </value>
        </values>
      </ddeItem>
      <ddeItem name="ai[170].isCut" advise="1"/>
      <ddeItem name="ai[170].isForce" advise="1">
        <values>
          <value>
            <val>0</val>
          </value>
        </values>
      </ddeItem>
      <ddeItem name="ai[170].isInvScale" advise="1">
        <values>
          <value>
            <val>0</val>
          </value>
        </values>
      </ddeItem>
      <ddeItem name="ai[170].L.EN" advise="1">
        <values>
          <value>
            <val>0</val>
          </value>
        </values>
      </ddeItem>
      <ddeItem name="ai[170].L.fix" advise="1">
        <values>
          <value>
            <val>0</val>
          </value>
        </values>
      </ddeItem>
      <ddeItem name="ai[170].L.V" advise="1">
        <values>
          <value>
            <val>0</val>
          </value>
        </values>
      </ddeItem>
      <ddeItem name="ai[170].LL.EN" advise="1">
        <values>
          <value>
            <val>0</val>
          </value>
        </values>
      </ddeItem>
      <ddeItem name="ai[170].LL.fix" advise="1">
        <values>
          <value>
            <val>0</val>
          </value>
        </values>
      </ddeItem>
      <ddeItem name="ai[170].LL.V" advise="1">
        <values>
          <value>
            <val>0</val>
          </value>
        </values>
      </ddeItem>
      <ddeItem name="ai[170].RH.EN" advise="1">
        <values>
          <value>
            <val>1</val>
          </value>
        </values>
      </ddeItem>
      <ddeItem name="ai[170].RH.fix" advise="1">
        <values>
          <value>
            <val>0</val>
          </value>
        </values>
      </ddeItem>
      <ddeItem name="ai[170].RH.V" advise="1">
        <values>
          <value>
            <val>170</val>
          </value>
        </values>
      </ddeItem>
      <ddeItem name="ai[170].RL.EN" advise="1">
        <values>
          <value>
            <val>1</val>
          </value>
        </values>
      </ddeItem>
      <ddeItem name="ai[170].RL.fix" advise="1">
        <values>
          <value>
            <val>0</val>
          </value>
        </values>
      </ddeItem>
      <ddeItem name="ai[170].RL.V" advise="1">
        <values>
          <value>
            <val>160</val>
          </value>
        </values>
      </ddeItem>
      <ddeItem name="ai[170].state" advise="1">
        <values>
          <value>
            <val>4</val>
          </value>
        </values>
      </ddeItem>
      <ddeItem name="ai[170].v" advise="1">
        <values>
          <value>
            <val>0</val>
          </value>
        </values>
      </ddeItem>
      <ddeItem name="ai[170].vCorrect" advise="1"/>
      <ddeItem name="ai[170].vCut" advise="1"/>
      <ddeItem name="ai[170].vRaw" advise="1"/>
      <ddeItem name="ai[170].ZH" advise="1">
        <values>
          <value>
            <val>300</val>
          </value>
        </values>
      </ddeItem>
      <ddeItem name="ai[170].ZL" advise="1">
        <values>
          <value>
            <val>0</val>
          </value>
        </values>
      </ddeItem>
      <ddeItem name="ai[171].break.sgn" advise="1">
        <values>
          <value>
            <val>1</val>
          </value>
        </values>
      </ddeItem>
      <ddeItem name="ai[171].EN" advise="1">
        <values>
          <value>
            <val>1</val>
          </value>
        </values>
      </ddeItem>
      <ddeItem name="ai[171].group" advise="1">
        <values>
          <value>
            <val>4</val>
          </value>
        </values>
      </ddeItem>
      <ddeItem name="ai[171].H.EN" advise="1">
        <values>
          <value>
            <val>0</val>
          </value>
        </values>
      </ddeItem>
      <ddeItem name="ai[171].H.fix" advise="1">
        <values>
          <value>
            <val>0</val>
          </value>
        </values>
      </ddeItem>
      <ddeItem name="ai[171].H.V" advise="1">
        <values>
          <value>
            <val>0</val>
          </value>
        </values>
      </ddeItem>
      <ddeItem name="ai[171].HH.EN" advise="1">
        <values>
          <value>
            <val>0</val>
          </value>
        </values>
      </ddeItem>
      <ddeItem name="ai[171].HH.fix" advise="1">
        <values>
          <value>
            <val>0</val>
          </value>
        </values>
      </ddeItem>
      <ddeItem name="ai[171].HH.V" advise="1">
        <values>
          <value>
            <val>0</val>
          </value>
        </values>
      </ddeItem>
      <ddeItem name="ai[171].i" advise="1">
        <values>
          <value>
            <val>1.8844599999999999E-3</val>
          </value>
        </values>
      </ddeItem>
      <ddeItem name="ai[171].isCorrect" advise="1">
        <values>
          <value>
            <val>0</val>
          </value>
        </values>
      </ddeItem>
      <ddeItem name="ai[171].isCut" advise="1"/>
      <ddeItem name="ai[171].isForce" advise="1">
        <values>
          <value>
            <val>0</val>
          </value>
        </values>
      </ddeItem>
      <ddeItem name="ai[171].isInvScale" advise="1">
        <values>
          <value>
            <val>0</val>
          </value>
        </values>
      </ddeItem>
      <ddeItem name="ai[171].L.EN" advise="1">
        <values>
          <value>
            <val>0</val>
          </value>
        </values>
      </ddeItem>
      <ddeItem name="ai[171].L.fix" advise="1">
        <values>
          <value>
            <val>0</val>
          </value>
        </values>
      </ddeItem>
      <ddeItem name="ai[171].L.V" advise="1">
        <values>
          <value>
            <val>0</val>
          </value>
        </values>
      </ddeItem>
      <ddeItem name="ai[171].LL.EN" advise="1">
        <values>
          <value>
            <val>0</val>
          </value>
        </values>
      </ddeItem>
      <ddeItem name="ai[171].LL.fix" advise="1">
        <values>
          <value>
            <val>0</val>
          </value>
        </values>
      </ddeItem>
      <ddeItem name="ai[171].LL.V" advise="1">
        <values>
          <value>
            <val>0</val>
          </value>
        </values>
      </ddeItem>
      <ddeItem name="ai[171].RH.EN" advise="1">
        <values>
          <value>
            <val>1</val>
          </value>
        </values>
      </ddeItem>
      <ddeItem name="ai[171].RH.fix" advise="1">
        <values>
          <value>
            <val>0</val>
          </value>
        </values>
      </ddeItem>
      <ddeItem name="ai[171].RH.V" advise="1">
        <values>
          <value>
            <val>170</val>
          </value>
        </values>
      </ddeItem>
      <ddeItem name="ai[171].RL.EN" advise="1">
        <values>
          <value>
            <val>1</val>
          </value>
        </values>
      </ddeItem>
      <ddeItem name="ai[171].RL.fix" advise="1">
        <values>
          <value>
            <val>0</val>
          </value>
        </values>
      </ddeItem>
      <ddeItem name="ai[171].RL.V" advise="1">
        <values>
          <value>
            <val>160</val>
          </value>
        </values>
      </ddeItem>
      <ddeItem name="ai[171].state" advise="1">
        <values>
          <value>
            <val>4</val>
          </value>
        </values>
      </ddeItem>
      <ddeItem name="ai[171].v" advise="1">
        <values>
          <value>
            <val>0</val>
          </value>
        </values>
      </ddeItem>
      <ddeItem name="ai[171].vCorrect" advise="1"/>
      <ddeItem name="ai[171].vCut" advise="1"/>
      <ddeItem name="ai[171].vRaw" advise="1"/>
      <ddeItem name="ai[171].ZH" advise="1">
        <values>
          <value>
            <val>300</val>
          </value>
        </values>
      </ddeItem>
      <ddeItem name="ai[171].ZL" advise="1">
        <values>
          <value>
            <val>0</val>
          </value>
        </values>
      </ddeItem>
      <ddeItem name="ai[172].break.sgn" advise="1">
        <values>
          <value>
            <val>1</val>
          </value>
        </values>
      </ddeItem>
      <ddeItem name="ai[172].EN" advise="1">
        <values>
          <value>
            <val>1</val>
          </value>
        </values>
      </ddeItem>
      <ddeItem name="ai[172].group" advise="1">
        <values>
          <value>
            <val>4</val>
          </value>
        </values>
      </ddeItem>
      <ddeItem name="ai[172].H.EN" advise="1">
        <values>
          <value>
            <val>0</val>
          </value>
        </values>
      </ddeItem>
      <ddeItem name="ai[172].H.fix" advise="1">
        <values>
          <value>
            <val>0</val>
          </value>
        </values>
      </ddeItem>
      <ddeItem name="ai[172].H.V" advise="1">
        <values>
          <value>
            <val>0</val>
          </value>
        </values>
      </ddeItem>
      <ddeItem name="ai[172].HH.EN" advise="1">
        <values>
          <value>
            <val>0</val>
          </value>
        </values>
      </ddeItem>
      <ddeItem name="ai[172].HH.fix" advise="1">
        <values>
          <value>
            <val>0</val>
          </value>
        </values>
      </ddeItem>
      <ddeItem name="ai[172].HH.V" advise="1">
        <values>
          <value>
            <val>0</val>
          </value>
        </values>
      </ddeItem>
      <ddeItem name="ai[172].i" advise="1">
        <values>
          <value>
            <val>1.570702E-3</val>
          </value>
        </values>
      </ddeItem>
      <ddeItem name="ai[172].isCorrect" advise="1">
        <values>
          <value>
            <val>0</val>
          </value>
        </values>
      </ddeItem>
      <ddeItem name="ai[172].isCut" advise="1"/>
      <ddeItem name="ai[172].isForce" advise="1">
        <values>
          <value>
            <val>0</val>
          </value>
        </values>
      </ddeItem>
      <ddeItem name="ai[172].isInvScale" advise="1">
        <values>
          <value>
            <val>0</val>
          </value>
        </values>
      </ddeItem>
      <ddeItem name="ai[172].L.EN" advise="1">
        <values>
          <value>
            <val>0</val>
          </value>
        </values>
      </ddeItem>
      <ddeItem name="ai[172].L.fix" advise="1">
        <values>
          <value>
            <val>0</val>
          </value>
        </values>
      </ddeItem>
      <ddeItem name="ai[172].L.V" advise="1">
        <values>
          <value>
            <val>0</val>
          </value>
        </values>
      </ddeItem>
      <ddeItem name="ai[172].LL.EN" advise="1">
        <values>
          <value>
            <val>0</val>
          </value>
        </values>
      </ddeItem>
      <ddeItem name="ai[172].LL.fix" advise="1">
        <values>
          <value>
            <val>0</val>
          </value>
        </values>
      </ddeItem>
      <ddeItem name="ai[172].LL.V" advise="1">
        <values>
          <value>
            <val>0</val>
          </value>
        </values>
      </ddeItem>
      <ddeItem name="ai[172].RH.EN" advise="1">
        <values>
          <value>
            <val>1</val>
          </value>
        </values>
      </ddeItem>
      <ddeItem name="ai[172].RH.fix" advise="1">
        <values>
          <value>
            <val>0</val>
          </value>
        </values>
      </ddeItem>
      <ddeItem name="ai[172].RH.V" advise="1">
        <values>
          <value>
            <val>240</val>
          </value>
        </values>
      </ddeItem>
      <ddeItem name="ai[172].RL.EN" advise="1">
        <values>
          <value>
            <val>1</val>
          </value>
        </values>
      </ddeItem>
      <ddeItem name="ai[172].RL.fix" advise="1">
        <values>
          <value>
            <val>0</val>
          </value>
        </values>
      </ddeItem>
      <ddeItem name="ai[172].RL.V" advise="1">
        <values>
          <value>
            <val>0</val>
          </value>
        </values>
      </ddeItem>
      <ddeItem name="ai[172].state" advise="1">
        <values>
          <value>
            <val>4</val>
          </value>
        </values>
      </ddeItem>
      <ddeItem name="ai[172].v" advise="1">
        <values>
          <value>
            <val>0</val>
          </value>
        </values>
      </ddeItem>
      <ddeItem name="ai[172].vCorrect" advise="1"/>
      <ddeItem name="ai[172].vCut" advise="1"/>
      <ddeItem name="ai[172].vRaw" advise="1"/>
      <ddeItem name="ai[172].ZH" advise="1">
        <values>
          <value>
            <val>300</val>
          </value>
        </values>
      </ddeItem>
      <ddeItem name="ai[172].ZL" advise="1">
        <values>
          <value>
            <val>0</val>
          </value>
        </values>
      </ddeItem>
      <ddeItem name="ai[173].break.sgn" advise="1">
        <values>
          <value>
            <val>0</val>
          </value>
        </values>
      </ddeItem>
      <ddeItem name="ai[173].EN" advise="1">
        <values>
          <value>
            <val>0</val>
          </value>
        </values>
      </ddeItem>
      <ddeItem name="ai[173].group" advise="1">
        <values>
          <value>
            <val>4</val>
          </value>
        </values>
      </ddeItem>
      <ddeItem name="ai[173].H.EN" advise="1">
        <values>
          <value>
            <val>0</val>
          </value>
        </values>
      </ddeItem>
      <ddeItem name="ai[173].H.fix" advise="1">
        <values>
          <value>
            <val>0</val>
          </value>
        </values>
      </ddeItem>
      <ddeItem name="ai[173].H.V" advise="1">
        <values>
          <value>
            <val>0</val>
          </value>
        </values>
      </ddeItem>
      <ddeItem name="ai[173].HH.EN" advise="1">
        <values>
          <value>
            <val>0</val>
          </value>
        </values>
      </ddeItem>
      <ddeItem name="ai[173].HH.fix" advise="1">
        <values>
          <value>
            <val>0</val>
          </value>
        </values>
      </ddeItem>
      <ddeItem name="ai[173].HH.V" advise="1">
        <values>
          <value>
            <val>0</val>
          </value>
        </values>
      </ddeItem>
      <ddeItem name="ai[173].i" advise="1">
        <values>
          <value>
            <val>0</val>
          </value>
        </values>
      </ddeItem>
      <ddeItem name="ai[173].isCorrect" advise="1">
        <values>
          <value>
            <val>0</val>
          </value>
        </values>
      </ddeItem>
      <ddeItem name="ai[173].isCut" advise="1"/>
      <ddeItem name="ai[173].isForce" advise="1">
        <values>
          <value>
            <val>0</val>
          </value>
        </values>
      </ddeItem>
      <ddeItem name="ai[173].isInvScale" advise="1">
        <values>
          <value>
            <val>0</val>
          </value>
        </values>
      </ddeItem>
      <ddeItem name="ai[173].L.EN" advise="1">
        <values>
          <value>
            <val>0</val>
          </value>
        </values>
      </ddeItem>
      <ddeItem name="ai[173].L.fix" advise="1">
        <values>
          <value>
            <val>0</val>
          </value>
        </values>
      </ddeItem>
      <ddeItem name="ai[173].L.V" advise="1">
        <values>
          <value>
            <val>0</val>
          </value>
        </values>
      </ddeItem>
      <ddeItem name="ai[173].LL.EN" advise="1">
        <values>
          <value>
            <val>0</val>
          </value>
        </values>
      </ddeItem>
      <ddeItem name="ai[173].LL.fix" advise="1">
        <values>
          <value>
            <val>0</val>
          </value>
        </values>
      </ddeItem>
      <ddeItem name="ai[173].LL.V" advise="1">
        <values>
          <value>
            <val>0</val>
          </value>
        </values>
      </ddeItem>
      <ddeItem name="ai[173].RH.EN" advise="1">
        <values>
          <value>
            <val>0</val>
          </value>
        </values>
      </ddeItem>
      <ddeItem name="ai[173].RH.fix" advise="1">
        <values>
          <value>
            <val>0</val>
          </value>
        </values>
      </ddeItem>
      <ddeItem name="ai[173].RH.V" advise="1">
        <values>
          <value>
            <val>0</val>
          </value>
        </values>
      </ddeItem>
      <ddeItem name="ai[173].RL.EN" advise="1">
        <values>
          <value>
            <val>0</val>
          </value>
        </values>
      </ddeItem>
      <ddeItem name="ai[173].RL.fix" advise="1">
        <values>
          <value>
            <val>0</val>
          </value>
        </values>
      </ddeItem>
      <ddeItem name="ai[173].RL.V" advise="1">
        <values>
          <value>
            <val>0</val>
          </value>
        </values>
      </ddeItem>
      <ddeItem name="ai[173].state" advise="1">
        <values>
          <value>
            <val>4</val>
          </value>
        </values>
      </ddeItem>
      <ddeItem name="ai[173].v" advise="1">
        <values>
          <value>
            <val>0</val>
          </value>
        </values>
      </ddeItem>
      <ddeItem name="ai[173].vCorrect" advise="1"/>
      <ddeItem name="ai[173].vCut" advise="1"/>
      <ddeItem name="ai[173].vRaw" advise="1"/>
      <ddeItem name="ai[173].ZH" advise="1">
        <values>
          <value>
            <val>0</val>
          </value>
        </values>
      </ddeItem>
      <ddeItem name="ai[173].ZL" advise="1">
        <values>
          <value>
            <val>0</val>
          </value>
        </values>
      </ddeItem>
      <ddeItem name="ai[174].break.sgn" advise="1">
        <values>
          <value>
            <val>0</val>
          </value>
        </values>
      </ddeItem>
      <ddeItem name="ai[174].EN" advise="1">
        <values>
          <value>
            <val>0</val>
          </value>
        </values>
      </ddeItem>
      <ddeItem name="ai[174].group" advise="1">
        <values>
          <value>
            <val>4</val>
          </value>
        </values>
      </ddeItem>
      <ddeItem name="ai[174].H.EN" advise="1">
        <values>
          <value>
            <val>0</val>
          </value>
        </values>
      </ddeItem>
      <ddeItem name="ai[174].H.fix" advise="1">
        <values>
          <value>
            <val>0</val>
          </value>
        </values>
      </ddeItem>
      <ddeItem name="ai[174].H.V" advise="1">
        <values>
          <value>
            <val>0</val>
          </value>
        </values>
      </ddeItem>
      <ddeItem name="ai[174].HH.EN" advise="1">
        <values>
          <value>
            <val>0</val>
          </value>
        </values>
      </ddeItem>
      <ddeItem name="ai[174].HH.fix" advise="1">
        <values>
          <value>
            <val>0</val>
          </value>
        </values>
      </ddeItem>
      <ddeItem name="ai[174].HH.V" advise="1">
        <values>
          <value>
            <val>0</val>
          </value>
        </values>
      </ddeItem>
      <ddeItem name="ai[174].i" advise="1">
        <values>
          <value>
            <val>0</val>
          </value>
        </values>
      </ddeItem>
      <ddeItem name="ai[174].isCorrect" advise="1">
        <values>
          <value>
            <val>0</val>
          </value>
        </values>
      </ddeItem>
      <ddeItem name="ai[174].isCut" advise="1"/>
      <ddeItem name="ai[174].isForce" advise="1">
        <values>
          <value>
            <val>0</val>
          </value>
        </values>
      </ddeItem>
      <ddeItem name="ai[174].isInvScale" advise="1">
        <values>
          <value>
            <val>0</val>
          </value>
        </values>
      </ddeItem>
      <ddeItem name="ai[174].L.EN" advise="1">
        <values>
          <value>
            <val>0</val>
          </value>
        </values>
      </ddeItem>
      <ddeItem name="ai[174].L.fix" advise="1">
        <values>
          <value>
            <val>0</val>
          </value>
        </values>
      </ddeItem>
      <ddeItem name="ai[174].L.V" advise="1">
        <values>
          <value>
            <val>0</val>
          </value>
        </values>
      </ddeItem>
      <ddeItem name="ai[174].LL.EN" advise="1">
        <values>
          <value>
            <val>0</val>
          </value>
        </values>
      </ddeItem>
      <ddeItem name="ai[174].LL.fix" advise="1">
        <values>
          <value>
            <val>0</val>
          </value>
        </values>
      </ddeItem>
      <ddeItem name="ai[174].LL.V" advise="1">
        <values>
          <value>
            <val>0</val>
          </value>
        </values>
      </ddeItem>
      <ddeItem name="ai[174].RH.EN" advise="1">
        <values>
          <value>
            <val>0</val>
          </value>
        </values>
      </ddeItem>
      <ddeItem name="ai[174].RH.fix" advise="1">
        <values>
          <value>
            <val>0</val>
          </value>
        </values>
      </ddeItem>
      <ddeItem name="ai[174].RH.V" advise="1">
        <values>
          <value>
            <val>0</val>
          </value>
        </values>
      </ddeItem>
      <ddeItem name="ai[174].RL.EN" advise="1">
        <values>
          <value>
            <val>0</val>
          </value>
        </values>
      </ddeItem>
      <ddeItem name="ai[174].RL.fix" advise="1">
        <values>
          <value>
            <val>0</val>
          </value>
        </values>
      </ddeItem>
      <ddeItem name="ai[174].RL.V" advise="1">
        <values>
          <value>
            <val>0</val>
          </value>
        </values>
      </ddeItem>
      <ddeItem name="ai[174].state" advise="1">
        <values>
          <value>
            <val>4</val>
          </value>
        </values>
      </ddeItem>
      <ddeItem name="ai[174].v" advise="1">
        <values>
          <value>
            <val>0</val>
          </value>
        </values>
      </ddeItem>
      <ddeItem name="ai[174].vCorrect" advise="1"/>
      <ddeItem name="ai[174].vCut" advise="1"/>
      <ddeItem name="ai[174].vRaw" advise="1"/>
      <ddeItem name="ai[174].ZH" advise="1">
        <values>
          <value>
            <val>0</val>
          </value>
        </values>
      </ddeItem>
      <ddeItem name="ai[174].ZL" advise="1">
        <values>
          <value>
            <val>0</val>
          </value>
        </values>
      </ddeItem>
      <ddeItem name="ai[175].break.sgn" advise="1">
        <values>
          <value>
            <val>0</val>
          </value>
        </values>
      </ddeItem>
      <ddeItem name="ai[175].EN" advise="1">
        <values>
          <value>
            <val>0</val>
          </value>
        </values>
      </ddeItem>
      <ddeItem name="ai[175].group" advise="1">
        <values>
          <value>
            <val>4</val>
          </value>
        </values>
      </ddeItem>
      <ddeItem name="ai[175].H.EN" advise="1">
        <values>
          <value>
            <val>0</val>
          </value>
        </values>
      </ddeItem>
      <ddeItem name="ai[175].H.fix" advise="1">
        <values>
          <value>
            <val>0</val>
          </value>
        </values>
      </ddeItem>
      <ddeItem name="ai[175].H.V" advise="1">
        <values>
          <value>
            <val>0</val>
          </value>
        </values>
      </ddeItem>
      <ddeItem name="ai[175].HH.EN" advise="1">
        <values>
          <value>
            <val>0</val>
          </value>
        </values>
      </ddeItem>
      <ddeItem name="ai[175].HH.fix" advise="1">
        <values>
          <value>
            <val>0</val>
          </value>
        </values>
      </ddeItem>
      <ddeItem name="ai[175].HH.V" advise="1">
        <values>
          <value>
            <val>0</val>
          </value>
        </values>
      </ddeItem>
      <ddeItem name="ai[175].i" advise="1">
        <values>
          <value>
            <val>0</val>
          </value>
        </values>
      </ddeItem>
      <ddeItem name="ai[175].isCorrect" advise="1">
        <values>
          <value>
            <val>0</val>
          </value>
        </values>
      </ddeItem>
      <ddeItem name="ai[175].isCut" advise="1"/>
      <ddeItem name="ai[175].isForce" advise="1">
        <values>
          <value>
            <val>0</val>
          </value>
        </values>
      </ddeItem>
      <ddeItem name="ai[175].isInvScale" advise="1">
        <values>
          <value>
            <val>0</val>
          </value>
        </values>
      </ddeItem>
      <ddeItem name="ai[175].L.EN" advise="1">
        <values>
          <value>
            <val>0</val>
          </value>
        </values>
      </ddeItem>
      <ddeItem name="ai[175].L.fix" advise="1">
        <values>
          <value>
            <val>0</val>
          </value>
        </values>
      </ddeItem>
      <ddeItem name="ai[175].L.V" advise="1">
        <values>
          <value>
            <val>0</val>
          </value>
        </values>
      </ddeItem>
      <ddeItem name="ai[175].LL.EN" advise="1">
        <values>
          <value>
            <val>0</val>
          </value>
        </values>
      </ddeItem>
      <ddeItem name="ai[175].LL.fix" advise="1">
        <values>
          <value>
            <val>0</val>
          </value>
        </values>
      </ddeItem>
      <ddeItem name="ai[175].LL.V" advise="1">
        <values>
          <value>
            <val>0</val>
          </value>
        </values>
      </ddeItem>
      <ddeItem name="ai[175].RH.EN" advise="1">
        <values>
          <value>
            <val>0</val>
          </value>
        </values>
      </ddeItem>
      <ddeItem name="ai[175].RH.fix" advise="1">
        <values>
          <value>
            <val>0</val>
          </value>
        </values>
      </ddeItem>
      <ddeItem name="ai[175].RH.V" advise="1">
        <values>
          <value>
            <val>0</val>
          </value>
        </values>
      </ddeItem>
      <ddeItem name="ai[175].RL.EN" advise="1">
        <values>
          <value>
            <val>0</val>
          </value>
        </values>
      </ddeItem>
      <ddeItem name="ai[175].RL.fix" advise="1">
        <values>
          <value>
            <val>0</val>
          </value>
        </values>
      </ddeItem>
      <ddeItem name="ai[175].RL.V" advise="1">
        <values>
          <value>
            <val>0</val>
          </value>
        </values>
      </ddeItem>
      <ddeItem name="ai[175].state" advise="1">
        <values>
          <value>
            <val>4</val>
          </value>
        </values>
      </ddeItem>
      <ddeItem name="ai[175].v" advise="1">
        <values>
          <value>
            <val>0</val>
          </value>
        </values>
      </ddeItem>
      <ddeItem name="ai[175].vCorrect" advise="1"/>
      <ddeItem name="ai[175].vCut" advise="1"/>
      <ddeItem name="ai[175].vRaw" advise="1"/>
      <ddeItem name="ai[175].ZH" advise="1">
        <values>
          <value>
            <val>0</val>
          </value>
        </values>
      </ddeItem>
      <ddeItem name="ai[175].ZL" advise="1">
        <values>
          <value>
            <val>0</val>
          </value>
        </values>
      </ddeItem>
      <ddeItem name="ai[176].break.sgn" advise="1">
        <values>
          <value>
            <val>1</val>
          </value>
        </values>
      </ddeItem>
      <ddeItem name="ai[176].EN" advise="1">
        <values>
          <value>
            <val>1</val>
          </value>
        </values>
      </ddeItem>
      <ddeItem name="ai[176].group" advise="1">
        <values>
          <value>
            <val>4</val>
          </value>
        </values>
      </ddeItem>
      <ddeItem name="ai[176].H.EN" advise="1">
        <values>
          <value>
            <val>0</val>
          </value>
        </values>
      </ddeItem>
      <ddeItem name="ai[176].H.fix" advise="1">
        <values>
          <value>
            <val>0</val>
          </value>
        </values>
      </ddeItem>
      <ddeItem name="ai[176].H.V" advise="1">
        <values>
          <value>
            <val>0</val>
          </value>
        </values>
      </ddeItem>
      <ddeItem name="ai[176].HH.EN" advise="1">
        <values>
          <value>
            <val>0</val>
          </value>
        </values>
      </ddeItem>
      <ddeItem name="ai[176].HH.fix" advise="1">
        <values>
          <value>
            <val>0</val>
          </value>
        </values>
      </ddeItem>
      <ddeItem name="ai[176].HH.V" advise="1">
        <values>
          <value>
            <val>0</val>
          </value>
        </values>
      </ddeItem>
      <ddeItem name="ai[176].i" advise="1">
        <values>
          <value>
            <val>3.1404499999999999E-3</val>
          </value>
        </values>
      </ddeItem>
      <ddeItem name="ai[176].isCorrect" advise="1">
        <values>
          <value>
            <val>0</val>
          </value>
        </values>
      </ddeItem>
      <ddeItem name="ai[176].isCut" advise="1"/>
      <ddeItem name="ai[176].isForce" advise="1">
        <values>
          <value>
            <val>0</val>
          </value>
        </values>
      </ddeItem>
      <ddeItem name="ai[176].isInvScale" advise="1">
        <values>
          <value>
            <val>0</val>
          </value>
        </values>
      </ddeItem>
      <ddeItem name="ai[176].L.EN" advise="1">
        <values>
          <value>
            <val>0</val>
          </value>
        </values>
      </ddeItem>
      <ddeItem name="ai[176].L.fix" advise="1">
        <values>
          <value>
            <val>0</val>
          </value>
        </values>
      </ddeItem>
      <ddeItem name="ai[176].L.V" advise="1">
        <values>
          <value>
            <val>0</val>
          </value>
        </values>
      </ddeItem>
      <ddeItem name="ai[176].LL.EN" advise="1">
        <values>
          <value>
            <val>0</val>
          </value>
        </values>
      </ddeItem>
      <ddeItem name="ai[176].LL.fix" advise="1">
        <values>
          <value>
            <val>0</val>
          </value>
        </values>
      </ddeItem>
      <ddeItem name="ai[176].LL.V" advise="1">
        <values>
          <value>
            <val>0</val>
          </value>
        </values>
      </ddeItem>
      <ddeItem name="ai[176].RH.EN" advise="1">
        <values>
          <value>
            <val>1</val>
          </value>
        </values>
      </ddeItem>
      <ddeItem name="ai[176].RH.fix" advise="1">
        <values>
          <value>
            <val>0</val>
          </value>
        </values>
      </ddeItem>
      <ddeItem name="ai[176].RH.V" advise="1">
        <values>
          <value>
            <val>280</val>
          </value>
        </values>
      </ddeItem>
      <ddeItem name="ai[176].RL.EN" advise="1">
        <values>
          <value>
            <val>1</val>
          </value>
        </values>
      </ddeItem>
      <ddeItem name="ai[176].RL.fix" advise="1">
        <values>
          <value>
            <val>0</val>
          </value>
        </values>
      </ddeItem>
      <ddeItem name="ai[176].RL.V" advise="1">
        <values>
          <value>
            <val>130</val>
          </value>
        </values>
      </ddeItem>
      <ddeItem name="ai[176].state" advise="1">
        <values>
          <value>
            <val>4</val>
          </value>
        </values>
      </ddeItem>
      <ddeItem name="ai[176].v" advise="1">
        <values>
          <value>
            <val>0</val>
          </value>
        </values>
      </ddeItem>
      <ddeItem name="ai[176].vCorrect" advise="1"/>
      <ddeItem name="ai[176].vCut" advise="1"/>
      <ddeItem name="ai[176].vRaw" advise="1"/>
      <ddeItem name="ai[176].ZH" advise="1">
        <values>
          <value>
            <val>300</val>
          </value>
        </values>
      </ddeItem>
      <ddeItem name="ai[176].ZL" advise="1">
        <values>
          <value>
            <val>0</val>
          </value>
        </values>
      </ddeItem>
      <ddeItem name="ai[177].break.sgn" advise="1">
        <values>
          <value>
            <val>1</val>
          </value>
        </values>
      </ddeItem>
      <ddeItem name="ai[177].EN" advise="1">
        <values>
          <value>
            <val>1</val>
          </value>
        </values>
      </ddeItem>
      <ddeItem name="ai[177].group" advise="1">
        <values>
          <value>
            <val>4</val>
          </value>
        </values>
      </ddeItem>
      <ddeItem name="ai[177].H.EN" advise="1">
        <values>
          <value>
            <val>0</val>
          </value>
        </values>
      </ddeItem>
      <ddeItem name="ai[177].H.fix" advise="1">
        <values>
          <value>
            <val>0</val>
          </value>
        </values>
      </ddeItem>
      <ddeItem name="ai[177].H.V" advise="1">
        <values>
          <value>
            <val>0</val>
          </value>
        </values>
      </ddeItem>
      <ddeItem name="ai[177].HH.EN" advise="1">
        <values>
          <value>
            <val>0</val>
          </value>
        </values>
      </ddeItem>
      <ddeItem name="ai[177].HH.fix" advise="1">
        <values>
          <value>
            <val>0</val>
          </value>
        </values>
      </ddeItem>
      <ddeItem name="ai[177].HH.V" advise="1">
        <values>
          <value>
            <val>0</val>
          </value>
        </values>
      </ddeItem>
      <ddeItem name="ai[177].i" advise="1">
        <values>
          <value>
            <val>3.4551619999999999E-3</val>
          </value>
        </values>
      </ddeItem>
      <ddeItem name="ai[177].isCorrect" advise="1">
        <values>
          <value>
            <val>0</val>
          </value>
        </values>
      </ddeItem>
      <ddeItem name="ai[177].isCut" advise="1"/>
      <ddeItem name="ai[177].isForce" advise="1">
        <values>
          <value>
            <val>0</val>
          </value>
        </values>
      </ddeItem>
      <ddeItem name="ai[177].isInvScale" advise="1">
        <values>
          <value>
            <val>0</val>
          </value>
        </values>
      </ddeItem>
      <ddeItem name="ai[177].L.EN" advise="1">
        <values>
          <value>
            <val>0</val>
          </value>
        </values>
      </ddeItem>
      <ddeItem name="ai[177].L.fix" advise="1">
        <values>
          <value>
            <val>0</val>
          </value>
        </values>
      </ddeItem>
      <ddeItem name="ai[177].L.V" advise="1">
        <values>
          <value>
            <val>0</val>
          </value>
        </values>
      </ddeItem>
      <ddeItem name="ai[177].LL.EN" advise="1">
        <values>
          <value>
            <val>0</val>
          </value>
        </values>
      </ddeItem>
      <ddeItem name="ai[177].LL.fix" advise="1">
        <values>
          <value>
            <val>0</val>
          </value>
        </values>
      </ddeItem>
      <ddeItem name="ai[177].LL.V" advise="1">
        <values>
          <value>
            <val>0</val>
          </value>
        </values>
      </ddeItem>
      <ddeItem name="ai[177].RH.EN" advise="1">
        <values>
          <value>
            <val>1</val>
          </value>
        </values>
      </ddeItem>
      <ddeItem name="ai[177].RH.fix" advise="1">
        <values>
          <value>
            <val>0</val>
          </value>
        </values>
      </ddeItem>
      <ddeItem name="ai[177].RH.V" advise="1">
        <values>
          <value>
            <val>270</val>
          </value>
        </values>
      </ddeItem>
      <ddeItem name="ai[177].RL.EN" advise="1">
        <values>
          <value>
            <val>1</val>
          </value>
        </values>
      </ddeItem>
      <ddeItem name="ai[177].RL.fix" advise="1">
        <values>
          <value>
            <val>0</val>
          </value>
        </values>
      </ddeItem>
      <ddeItem name="ai[177].RL.V" advise="1">
        <values>
          <value>
            <val>130</val>
          </value>
        </values>
      </ddeItem>
      <ddeItem name="ai[177].state" advise="1">
        <values>
          <value>
            <val>4</val>
          </value>
        </values>
      </ddeItem>
      <ddeItem name="ai[177].v" advise="1">
        <values>
          <value>
            <val>0</val>
          </value>
        </values>
      </ddeItem>
      <ddeItem name="ai[177].vCorrect" advise="1"/>
      <ddeItem name="ai[177].vCut" advise="1"/>
      <ddeItem name="ai[177].vRaw" advise="1"/>
      <ddeItem name="ai[177].ZH" advise="1">
        <values>
          <value>
            <val>300</val>
          </value>
        </values>
      </ddeItem>
      <ddeItem name="ai[177].ZL" advise="1">
        <values>
          <value>
            <val>0</val>
          </value>
        </values>
      </ddeItem>
      <ddeItem name="ai[178].break.sgn" advise="1">
        <values>
          <value>
            <val>1</val>
          </value>
        </values>
      </ddeItem>
      <ddeItem name="ai[178].EN" advise="1">
        <values>
          <value>
            <val>1</val>
          </value>
        </values>
      </ddeItem>
      <ddeItem name="ai[178].group" advise="1">
        <values>
          <value>
            <val>4</val>
          </value>
        </values>
      </ddeItem>
      <ddeItem name="ai[178].H.EN" advise="1">
        <values>
          <value>
            <val>0</val>
          </value>
        </values>
      </ddeItem>
      <ddeItem name="ai[178].H.fix" advise="1">
        <values>
          <value>
            <val>0</val>
          </value>
        </values>
      </ddeItem>
      <ddeItem name="ai[178].H.V" advise="1">
        <values>
          <value>
            <val>0</val>
          </value>
        </values>
      </ddeItem>
      <ddeItem name="ai[178].HH.EN" advise="1">
        <values>
          <value>
            <val>0</val>
          </value>
        </values>
      </ddeItem>
      <ddeItem name="ai[178].HH.fix" advise="1">
        <values>
          <value>
            <val>0</val>
          </value>
        </values>
      </ddeItem>
      <ddeItem name="ai[178].HH.V" advise="1">
        <values>
          <value>
            <val>0</val>
          </value>
        </values>
      </ddeItem>
      <ddeItem name="ai[178].i" advise="1">
        <values>
          <value>
            <val>3.4551619999999999E-3</val>
          </value>
        </values>
      </ddeItem>
      <ddeItem name="ai[178].isCorrect" advise="1">
        <values>
          <value>
            <val>0</val>
          </value>
        </values>
      </ddeItem>
      <ddeItem name="ai[178].isCut" advise="1"/>
      <ddeItem name="ai[178].isForce" advise="1">
        <values>
          <value>
            <val>0</val>
          </value>
        </values>
      </ddeItem>
      <ddeItem name="ai[178].isInvScale" advise="1">
        <values>
          <value>
            <val>0</val>
          </value>
        </values>
      </ddeItem>
      <ddeItem name="ai[178].L.EN" advise="1">
        <values>
          <value>
            <val>0</val>
          </value>
        </values>
      </ddeItem>
      <ddeItem name="ai[178].L.fix" advise="1">
        <values>
          <value>
            <val>0</val>
          </value>
        </values>
      </ddeItem>
      <ddeItem name="ai[178].L.V" advise="1">
        <values>
          <value>
            <val>0</val>
          </value>
        </values>
      </ddeItem>
      <ddeItem name="ai[178].LL.EN" advise="1">
        <values>
          <value>
            <val>0</val>
          </value>
        </values>
      </ddeItem>
      <ddeItem name="ai[178].LL.fix" advise="1">
        <values>
          <value>
            <val>0</val>
          </value>
        </values>
      </ddeItem>
      <ddeItem name="ai[178].LL.V" advise="1">
        <values>
          <value>
            <val>0</val>
          </value>
        </values>
      </ddeItem>
      <ddeItem name="ai[178].RH.EN" advise="1">
        <values>
          <value>
            <val>1</val>
          </value>
        </values>
      </ddeItem>
      <ddeItem name="ai[178].RH.fix" advise="1">
        <values>
          <value>
            <val>0</val>
          </value>
        </values>
      </ddeItem>
      <ddeItem name="ai[178].RH.V" advise="1">
        <values>
          <value>
            <val>270</val>
          </value>
        </values>
      </ddeItem>
      <ddeItem name="ai[178].RL.EN" advise="1">
        <values>
          <value>
            <val>1</val>
          </value>
        </values>
      </ddeItem>
      <ddeItem name="ai[178].RL.fix" advise="1">
        <values>
          <value>
            <val>0</val>
          </value>
        </values>
      </ddeItem>
      <ddeItem name="ai[178].RL.V" advise="1">
        <values>
          <value>
            <val>130</val>
          </value>
        </values>
      </ddeItem>
      <ddeItem name="ai[178].state" advise="1">
        <values>
          <value>
            <val>4</val>
          </value>
        </values>
      </ddeItem>
      <ddeItem name="ai[178].v" advise="1">
        <values>
          <value>
            <val>0</val>
          </value>
        </values>
      </ddeItem>
      <ddeItem name="ai[178].vCorrect" advise="1"/>
      <ddeItem name="ai[178].vCut" advise="1"/>
      <ddeItem name="ai[178].vRaw" advise="1"/>
      <ddeItem name="ai[178].ZH" advise="1">
        <values>
          <value>
            <val>300</val>
          </value>
        </values>
      </ddeItem>
      <ddeItem name="ai[178].ZL" advise="1">
        <values>
          <value>
            <val>0</val>
          </value>
        </values>
      </ddeItem>
      <ddeItem name="ai[179].break.sgn" advise="1">
        <values>
          <value>
            <val>1</val>
          </value>
        </values>
      </ddeItem>
      <ddeItem name="ai[179].EN" advise="1">
        <values>
          <value>
            <val>1</val>
          </value>
        </values>
      </ddeItem>
      <ddeItem name="ai[179].group" advise="1">
        <values>
          <value>
            <val>4</val>
          </value>
        </values>
      </ddeItem>
      <ddeItem name="ai[179].H.EN" advise="1">
        <values>
          <value>
            <val>0</val>
          </value>
        </values>
      </ddeItem>
      <ddeItem name="ai[179].H.fix" advise="1">
        <values>
          <value>
            <val>0</val>
          </value>
        </values>
      </ddeItem>
      <ddeItem name="ai[179].H.V" advise="1">
        <values>
          <value>
            <val>0</val>
          </value>
        </values>
      </ddeItem>
      <ddeItem name="ai[179].HH.EN" advise="1">
        <values>
          <value>
            <val>0</val>
          </value>
        </values>
      </ddeItem>
      <ddeItem name="ai[179].HH.fix" advise="1">
        <values>
          <value>
            <val>0</val>
          </value>
        </values>
      </ddeItem>
      <ddeItem name="ai[179].HH.V" advise="1">
        <values>
          <value>
            <val>0</val>
          </value>
        </values>
      </ddeItem>
      <ddeItem name="ai[179].i" advise="1">
        <values>
          <value>
            <val>3.4551619999999999E-3</val>
          </value>
        </values>
      </ddeItem>
      <ddeItem name="ai[179].isCorrect" advise="1">
        <values>
          <value>
            <val>0</val>
          </value>
        </values>
      </ddeItem>
      <ddeItem name="ai[179].isCut" advise="1"/>
      <ddeItem name="ai[179].isForce" advise="1">
        <values>
          <value>
            <val>0</val>
          </value>
        </values>
      </ddeItem>
      <ddeItem name="ai[179].isInvScale" advise="1">
        <values>
          <value>
            <val>0</val>
          </value>
        </values>
      </ddeItem>
      <ddeItem name="ai[179].L.EN" advise="1">
        <values>
          <value>
            <val>0</val>
          </value>
        </values>
      </ddeItem>
      <ddeItem name="ai[179].L.fix" advise="1">
        <values>
          <value>
            <val>0</val>
          </value>
        </values>
      </ddeItem>
      <ddeItem name="ai[179].L.V" advise="1">
        <values>
          <value>
            <val>0</val>
          </value>
        </values>
      </ddeItem>
      <ddeItem name="ai[179].LL.EN" advise="1">
        <values>
          <value>
            <val>0</val>
          </value>
        </values>
      </ddeItem>
      <ddeItem name="ai[179].LL.fix" advise="1">
        <values>
          <value>
            <val>0</val>
          </value>
        </values>
      </ddeItem>
      <ddeItem name="ai[179].LL.V" advise="1">
        <values>
          <value>
            <val>0</val>
          </value>
        </values>
      </ddeItem>
      <ddeItem name="ai[179].RH.EN" advise="1">
        <values>
          <value>
            <val>1</val>
          </value>
        </values>
      </ddeItem>
      <ddeItem name="ai[179].RH.fix" advise="1">
        <values>
          <value>
            <val>0</val>
          </value>
        </values>
      </ddeItem>
      <ddeItem name="ai[179].RH.V" advise="1">
        <values>
          <value>
            <val>160</val>
          </value>
        </values>
      </ddeItem>
      <ddeItem name="ai[179].RL.EN" advise="1">
        <values>
          <value>
            <val>1</val>
          </value>
        </values>
      </ddeItem>
      <ddeItem name="ai[179].RL.fix" advise="1">
        <values>
          <value>
            <val>0</val>
          </value>
        </values>
      </ddeItem>
      <ddeItem name="ai[179].RL.V" advise="1">
        <values>
          <value>
            <val>40</val>
          </value>
        </values>
      </ddeItem>
      <ddeItem name="ai[179].state" advise="1">
        <values>
          <value>
            <val>4</val>
          </value>
        </values>
      </ddeItem>
      <ddeItem name="ai[179].v" advise="1">
        <values>
          <value>
            <val>0</val>
          </value>
        </values>
      </ddeItem>
      <ddeItem name="ai[179].vCorrect" advise="1"/>
      <ddeItem name="ai[179].vCut" advise="1"/>
      <ddeItem name="ai[179].vRaw" advise="1"/>
      <ddeItem name="ai[179].ZH" advise="1">
        <values>
          <value>
            <val>300</val>
          </value>
        </values>
      </ddeItem>
      <ddeItem name="ai[179].ZL" advise="1">
        <values>
          <value>
            <val>0</val>
          </value>
        </values>
      </ddeItem>
      <ddeItem name="AI[18].break.sgn" advise="1">
        <values>
          <value>
            <val>1</val>
          </value>
        </values>
      </ddeItem>
      <ddeItem name="AI[18].EN" advise="1">
        <values>
          <value>
            <val>1</val>
          </value>
        </values>
      </ddeItem>
      <ddeItem name="AI[18].group" advise="1">
        <values>
          <value>
            <val>1</val>
          </value>
        </values>
      </ddeItem>
      <ddeItem name="AI[18].H.EN" advise="1">
        <values>
          <value>
            <val>0</val>
          </value>
        </values>
      </ddeItem>
      <ddeItem name="AI[18].H.fix" advise="1">
        <values>
          <value>
            <val>0</val>
          </value>
        </values>
      </ddeItem>
      <ddeItem name="AI[18].H.V" advise="1">
        <values>
          <value>
            <val>0</val>
          </value>
        </values>
      </ddeItem>
      <ddeItem name="AI[18].HH.EN" advise="1">
        <values>
          <value>
            <val>0</val>
          </value>
        </values>
      </ddeItem>
      <ddeItem name="AI[18].HH.fix" advise="1">
        <values>
          <value>
            <val>0</val>
          </value>
        </values>
      </ddeItem>
      <ddeItem name="AI[18].HH.V" advise="1">
        <values>
          <value>
            <val>0</val>
          </value>
        </values>
      </ddeItem>
      <ddeItem name="AI[18].i" advise="1">
        <values>
          <value>
            <val>5.0249099999999996E-3</val>
          </value>
        </values>
      </ddeItem>
      <ddeItem name="AI[18].isCorrect" advise="1">
        <values>
          <value>
            <val>0</val>
          </value>
        </values>
      </ddeItem>
      <ddeItem name="AI[18].isCut" advise="1"/>
      <ddeItem name="AI[18].isForce" advise="1">
        <values>
          <value>
            <val>0</val>
          </value>
        </values>
      </ddeItem>
      <ddeItem name="AI[18].isInvScale" advise="1">
        <values>
          <value>
            <val>0</val>
          </value>
        </values>
      </ddeItem>
      <ddeItem name="AI[18].L.EN" advise="1">
        <values>
          <value>
            <val>0</val>
          </value>
        </values>
      </ddeItem>
      <ddeItem name="AI[18].L.fix" advise="1">
        <values>
          <value>
            <val>0</val>
          </value>
        </values>
      </ddeItem>
      <ddeItem name="AI[18].L.V" advise="1">
        <values>
          <value>
            <val>0</val>
          </value>
        </values>
      </ddeItem>
      <ddeItem name="AI[18].LL.EN" advise="1">
        <values>
          <value>
            <val>0</val>
          </value>
        </values>
      </ddeItem>
      <ddeItem name="AI[18].LL.fix" advise="1">
        <values>
          <value>
            <val>0</val>
          </value>
        </values>
      </ddeItem>
      <ddeItem name="AI[18].LL.V" advise="1">
        <values>
          <value>
            <val>0</val>
          </value>
        </values>
      </ddeItem>
      <ddeItem name="AI[18].RH.EN" advise="1">
        <values>
          <value>
            <val>1</val>
          </value>
        </values>
      </ddeItem>
      <ddeItem name="AI[18].RH.fix" advise="1">
        <values>
          <value>
            <val>0</val>
          </value>
        </values>
      </ddeItem>
      <ddeItem name="AI[18].RH.V" advise="1">
        <values>
          <value>
            <val>50</val>
          </value>
        </values>
      </ddeItem>
      <ddeItem name="AI[18].RL.EN" advise="1">
        <values>
          <value>
            <val>1</val>
          </value>
        </values>
      </ddeItem>
      <ddeItem name="AI[18].RL.fix" advise="1">
        <values>
          <value>
            <val>0</val>
          </value>
        </values>
      </ddeItem>
      <ddeItem name="AI[18].RL.V" advise="1">
        <values>
          <value>
            <val>30</val>
          </value>
        </values>
      </ddeItem>
      <ddeItem name="AI[18].state" advise="1">
        <values>
          <value>
            <val>4</val>
          </value>
        </values>
      </ddeItem>
      <ddeItem name="AI[18].v" advise="1">
        <values>
          <value>
            <val>0</val>
          </value>
        </values>
      </ddeItem>
      <ddeItem name="AI[18].vCorrect" advise="1"/>
      <ddeItem name="AI[18].vCut" advise="1"/>
      <ddeItem name="AI[18].vRaw" advise="1"/>
      <ddeItem name="AI[18].ZH" advise="1">
        <values>
          <value>
            <val>100</val>
          </value>
        </values>
      </ddeItem>
      <ddeItem name="AI[18].ZL" advise="1">
        <values>
          <value>
            <val>0</val>
          </value>
        </values>
      </ddeItem>
      <ddeItem name="ai[180].break.sgn" advise="1">
        <values>
          <value>
            <val>1</val>
          </value>
        </values>
      </ddeItem>
      <ddeItem name="ai[180].EN" advise="1">
        <values>
          <value>
            <val>1</val>
          </value>
        </values>
      </ddeItem>
      <ddeItem name="ai[180].group" advise="1">
        <values>
          <value>
            <val>4</val>
          </value>
        </values>
      </ddeItem>
      <ddeItem name="ai[180].H.EN" advise="1">
        <values>
          <value>
            <val>0</val>
          </value>
        </values>
      </ddeItem>
      <ddeItem name="ai[180].H.fix" advise="1">
        <values>
          <value>
            <val>0</val>
          </value>
        </values>
      </ddeItem>
      <ddeItem name="ai[180].H.V" advise="1">
        <values>
          <value>
            <val>0</val>
          </value>
        </values>
      </ddeItem>
      <ddeItem name="ai[180].HH.EN" advise="1">
        <values>
          <value>
            <val>0</val>
          </value>
        </values>
      </ddeItem>
      <ddeItem name="ai[180].HH.fix" advise="1">
        <values>
          <value>
            <val>0</val>
          </value>
        </values>
      </ddeItem>
      <ddeItem name="ai[180].HH.V" advise="1">
        <values>
          <value>
            <val>0</val>
          </value>
        </values>
      </ddeItem>
      <ddeItem name="ai[180].i" advise="1">
        <values>
          <value>
            <val>1.2559890000000001E-3</val>
          </value>
        </values>
      </ddeItem>
      <ddeItem name="ai[180].isCorrect" advise="1">
        <values>
          <value>
            <val>0</val>
          </value>
        </values>
      </ddeItem>
      <ddeItem name="ai[180].isCut" advise="1"/>
      <ddeItem name="ai[180].isForce" advise="1">
        <values>
          <value>
            <val>0</val>
          </value>
        </values>
      </ddeItem>
      <ddeItem name="ai[180].isInvScale" advise="1">
        <values>
          <value>
            <val>0</val>
          </value>
        </values>
      </ddeItem>
      <ddeItem name="ai[180].L.EN" advise="1">
        <values>
          <value>
            <val>0</val>
          </value>
        </values>
      </ddeItem>
      <ddeItem name="ai[180].L.fix" advise="1">
        <values>
          <value>
            <val>0</val>
          </value>
        </values>
      </ddeItem>
      <ddeItem name="ai[180].L.V" advise="1">
        <values>
          <value>
            <val>0</val>
          </value>
        </values>
      </ddeItem>
      <ddeItem name="ai[180].LL.EN" advise="1">
        <values>
          <value>
            <val>0</val>
          </value>
        </values>
      </ddeItem>
      <ddeItem name="ai[180].LL.fix" advise="1">
        <values>
          <value>
            <val>0</val>
          </value>
        </values>
      </ddeItem>
      <ddeItem name="ai[180].LL.V" advise="1">
        <values>
          <value>
            <val>0</val>
          </value>
        </values>
      </ddeItem>
      <ddeItem name="ai[180].RH.EN" advise="1">
        <values>
          <value>
            <val>1</val>
          </value>
        </values>
      </ddeItem>
      <ddeItem name="ai[180].RH.fix" advise="1">
        <values>
          <value>
            <val>0</val>
          </value>
        </values>
      </ddeItem>
      <ddeItem name="ai[180].RH.V" advise="1">
        <values>
          <value>
            <val>160</val>
          </value>
        </values>
      </ddeItem>
      <ddeItem name="ai[180].RL.EN" advise="1">
        <values>
          <value>
            <val>1</val>
          </value>
        </values>
      </ddeItem>
      <ddeItem name="ai[180].RL.fix" advise="1">
        <values>
          <value>
            <val>0</val>
          </value>
        </values>
      </ddeItem>
      <ddeItem name="ai[180].RL.V" advise="1">
        <values>
          <value>
            <val>40</val>
          </value>
        </values>
      </ddeItem>
      <ddeItem name="ai[180].state" advise="1">
        <values>
          <value>
            <val>4</val>
          </value>
        </values>
      </ddeItem>
      <ddeItem name="ai[180].v" advise="1">
        <values>
          <value>
            <val>0</val>
          </value>
        </values>
      </ddeItem>
      <ddeItem name="ai[180].vCorrect" advise="1"/>
      <ddeItem name="ai[180].vCut" advise="1"/>
      <ddeItem name="ai[180].vRaw" advise="1"/>
      <ddeItem name="ai[180].ZH" advise="1">
        <values>
          <value>
            <val>300</val>
          </value>
        </values>
      </ddeItem>
      <ddeItem name="ai[180].ZL" advise="1">
        <values>
          <value>
            <val>0</val>
          </value>
        </values>
      </ddeItem>
      <ddeItem name="ai[181].break.sgn" advise="1">
        <values>
          <value>
            <val>1</val>
          </value>
        </values>
      </ddeItem>
      <ddeItem name="ai[181].EN" advise="1">
        <values>
          <value>
            <val>1</val>
          </value>
        </values>
      </ddeItem>
      <ddeItem name="ai[181].group" advise="1">
        <values>
          <value>
            <val>4</val>
          </value>
        </values>
      </ddeItem>
      <ddeItem name="ai[181].H.EN" advise="1">
        <values>
          <value>
            <val>0</val>
          </value>
        </values>
      </ddeItem>
      <ddeItem name="ai[181].H.fix" advise="1">
        <values>
          <value>
            <val>0</val>
          </value>
        </values>
      </ddeItem>
      <ddeItem name="ai[181].H.V" advise="1">
        <values>
          <value>
            <val>0</val>
          </value>
        </values>
      </ddeItem>
      <ddeItem name="ai[181].HH.EN" advise="1">
        <values>
          <value>
            <val>0</val>
          </value>
        </values>
      </ddeItem>
      <ddeItem name="ai[181].HH.fix" advise="1">
        <values>
          <value>
            <val>0</val>
          </value>
        </values>
      </ddeItem>
      <ddeItem name="ai[181].HH.V" advise="1">
        <values>
          <value>
            <val>0</val>
          </value>
        </values>
      </ddeItem>
      <ddeItem name="ai[181].i" advise="1">
        <values>
          <value>
            <val>1.8844599999999999E-3</val>
          </value>
        </values>
      </ddeItem>
      <ddeItem name="ai[181].isCorrect" advise="1">
        <values>
          <value>
            <val>0</val>
          </value>
        </values>
      </ddeItem>
      <ddeItem name="ai[181].isCut" advise="1"/>
      <ddeItem name="ai[181].isForce" advise="1">
        <values>
          <value>
            <val>0</val>
          </value>
        </values>
      </ddeItem>
      <ddeItem name="ai[181].isInvScale" advise="1">
        <values>
          <value>
            <val>0</val>
          </value>
        </values>
      </ddeItem>
      <ddeItem name="ai[181].L.EN" advise="1">
        <values>
          <value>
            <val>0</val>
          </value>
        </values>
      </ddeItem>
      <ddeItem name="ai[181].L.fix" advise="1">
        <values>
          <value>
            <val>0</val>
          </value>
        </values>
      </ddeItem>
      <ddeItem name="ai[181].L.V" advise="1">
        <values>
          <value>
            <val>0</val>
          </value>
        </values>
      </ddeItem>
      <ddeItem name="ai[181].LL.EN" advise="1">
        <values>
          <value>
            <val>0</val>
          </value>
        </values>
      </ddeItem>
      <ddeItem name="ai[181].LL.fix" advise="1">
        <values>
          <value>
            <val>0</val>
          </value>
        </values>
      </ddeItem>
      <ddeItem name="ai[181].LL.V" advise="1">
        <values>
          <value>
            <val>0</val>
          </value>
        </values>
      </ddeItem>
      <ddeItem name="ai[181].RH.EN" advise="1">
        <values>
          <value>
            <val>1</val>
          </value>
        </values>
      </ddeItem>
      <ddeItem name="ai[181].RH.fix" advise="1">
        <values>
          <value>
            <val>0</val>
          </value>
        </values>
      </ddeItem>
      <ddeItem name="ai[181].RH.V" advise="1">
        <values>
          <value>
            <val>160</val>
          </value>
        </values>
      </ddeItem>
      <ddeItem name="ai[181].RL.EN" advise="1">
        <values>
          <value>
            <val>1</val>
          </value>
        </values>
      </ddeItem>
      <ddeItem name="ai[181].RL.fix" advise="1">
        <values>
          <value>
            <val>0</val>
          </value>
        </values>
      </ddeItem>
      <ddeItem name="ai[181].RL.V" advise="1">
        <values>
          <value>
            <val>40</val>
          </value>
        </values>
      </ddeItem>
      <ddeItem name="ai[181].state" advise="1">
        <values>
          <value>
            <val>4</val>
          </value>
        </values>
      </ddeItem>
      <ddeItem name="ai[181].v" advise="1">
        <values>
          <value>
            <val>0</val>
          </value>
        </values>
      </ddeItem>
      <ddeItem name="ai[181].vCorrect" advise="1"/>
      <ddeItem name="ai[181].vCut" advise="1"/>
      <ddeItem name="ai[181].vRaw" advise="1"/>
      <ddeItem name="ai[181].ZH" advise="1">
        <values>
          <value>
            <val>300</val>
          </value>
        </values>
      </ddeItem>
      <ddeItem name="ai[181].ZL" advise="1">
        <values>
          <value>
            <val>0</val>
          </value>
        </values>
      </ddeItem>
      <ddeItem name="ai[182].break.sgn" advise="1">
        <values>
          <value>
            <val>1</val>
          </value>
        </values>
      </ddeItem>
      <ddeItem name="ai[182].EN" advise="1">
        <values>
          <value>
            <val>1</val>
          </value>
        </values>
      </ddeItem>
      <ddeItem name="ai[182].group" advise="1">
        <values>
          <value>
            <val>4</val>
          </value>
        </values>
      </ddeItem>
      <ddeItem name="ai[182].H.EN" advise="1">
        <values>
          <value>
            <val>0</val>
          </value>
        </values>
      </ddeItem>
      <ddeItem name="ai[182].H.fix" advise="1">
        <values>
          <value>
            <val>0</val>
          </value>
        </values>
      </ddeItem>
      <ddeItem name="ai[182].H.V" advise="1">
        <values>
          <value>
            <val>0</val>
          </value>
        </values>
      </ddeItem>
      <ddeItem name="ai[182].HH.EN" advise="1">
        <values>
          <value>
            <val>0</val>
          </value>
        </values>
      </ddeItem>
      <ddeItem name="ai[182].HH.fix" advise="1">
        <values>
          <value>
            <val>0</val>
          </value>
        </values>
      </ddeItem>
      <ddeItem name="ai[182].HH.V" advise="1">
        <values>
          <value>
            <val>0</val>
          </value>
        </values>
      </ddeItem>
      <ddeItem name="ai[182].i" advise="1">
        <values>
          <value>
            <val>1.570702E-3</val>
          </value>
        </values>
      </ddeItem>
      <ddeItem name="ai[182].isCorrect" advise="1">
        <values>
          <value>
            <val>0</val>
          </value>
        </values>
      </ddeItem>
      <ddeItem name="ai[182].isCut" advise="1"/>
      <ddeItem name="ai[182].isForce" advise="1">
        <values>
          <value>
            <val>0</val>
          </value>
        </values>
      </ddeItem>
      <ddeItem name="ai[182].isInvScale" advise="1">
        <values>
          <value>
            <val>0</val>
          </value>
        </values>
      </ddeItem>
      <ddeItem name="ai[182].L.EN" advise="1">
        <values>
          <value>
            <val>0</val>
          </value>
        </values>
      </ddeItem>
      <ddeItem name="ai[182].L.fix" advise="1">
        <values>
          <value>
            <val>0</val>
          </value>
        </values>
      </ddeItem>
      <ddeItem name="ai[182].L.V" advise="1">
        <values>
          <value>
            <val>0</val>
          </value>
        </values>
      </ddeItem>
      <ddeItem name="ai[182].LL.EN" advise="1">
        <values>
          <value>
            <val>0</val>
          </value>
        </values>
      </ddeItem>
      <ddeItem name="ai[182].LL.fix" advise="1">
        <values>
          <value>
            <val>0</val>
          </value>
        </values>
      </ddeItem>
      <ddeItem name="ai[182].LL.V" advise="1">
        <values>
          <value>
            <val>0</val>
          </value>
        </values>
      </ddeItem>
      <ddeItem name="ai[182].RH.EN" advise="1">
        <values>
          <value>
            <val>1</val>
          </value>
        </values>
      </ddeItem>
      <ddeItem name="ai[182].RH.fix" advise="1">
        <values>
          <value>
            <val>0</val>
          </value>
        </values>
      </ddeItem>
      <ddeItem name="ai[182].RH.V" advise="1">
        <values>
          <value>
            <val>250</val>
          </value>
        </values>
      </ddeItem>
      <ddeItem name="ai[182].RL.EN" advise="1">
        <values>
          <value>
            <val>1</val>
          </value>
        </values>
      </ddeItem>
      <ddeItem name="ai[182].RL.fix" advise="1">
        <values>
          <value>
            <val>0</val>
          </value>
        </values>
      </ddeItem>
      <ddeItem name="ai[182].RL.V" advise="1">
        <values>
          <value>
            <val>130</val>
          </value>
        </values>
      </ddeItem>
      <ddeItem name="ai[182].state" advise="1">
        <values>
          <value>
            <val>4</val>
          </value>
        </values>
      </ddeItem>
      <ddeItem name="ai[182].v" advise="1">
        <values>
          <value>
            <val>0</val>
          </value>
        </values>
      </ddeItem>
      <ddeItem name="ai[182].vCorrect" advise="1"/>
      <ddeItem name="ai[182].vCut" advise="1"/>
      <ddeItem name="ai[182].vRaw" advise="1"/>
      <ddeItem name="ai[182].ZH" advise="1">
        <values>
          <value>
            <val>300</val>
          </value>
        </values>
      </ddeItem>
      <ddeItem name="ai[182].ZL" advise="1">
        <values>
          <value>
            <val>0</val>
          </value>
        </values>
      </ddeItem>
      <ddeItem name="ai[183].break.sgn" advise="1">
        <values>
          <value>
            <val>1</val>
          </value>
        </values>
      </ddeItem>
      <ddeItem name="ai[183].EN" advise="1">
        <values>
          <value>
            <val>1</val>
          </value>
        </values>
      </ddeItem>
      <ddeItem name="ai[183].group" advise="1">
        <values>
          <value>
            <val>4</val>
          </value>
        </values>
      </ddeItem>
      <ddeItem name="ai[183].H.EN" advise="1">
        <values>
          <value>
            <val>0</val>
          </value>
        </values>
      </ddeItem>
      <ddeItem name="ai[183].H.fix" advise="1">
        <values>
          <value>
            <val>0</val>
          </value>
        </values>
      </ddeItem>
      <ddeItem name="ai[183].H.V" advise="1">
        <values>
          <value>
            <val>0</val>
          </value>
        </values>
      </ddeItem>
      <ddeItem name="ai[183].HH.EN" advise="1">
        <values>
          <value>
            <val>0</val>
          </value>
        </values>
      </ddeItem>
      <ddeItem name="ai[183].HH.fix" advise="1">
        <values>
          <value>
            <val>0</val>
          </value>
        </values>
      </ddeItem>
      <ddeItem name="ai[183].HH.V" advise="1">
        <values>
          <value>
            <val>0</val>
          </value>
        </values>
      </ddeItem>
      <ddeItem name="ai[183].i" advise="1">
        <values>
          <value>
            <val>1.8844599999999999E-3</val>
          </value>
        </values>
      </ddeItem>
      <ddeItem name="ai[183].isCorrect" advise="1">
        <values>
          <value>
            <val>0</val>
          </value>
        </values>
      </ddeItem>
      <ddeItem name="ai[183].isCut" advise="1"/>
      <ddeItem name="ai[183].isForce" advise="1">
        <values>
          <value>
            <val>0</val>
          </value>
        </values>
      </ddeItem>
      <ddeItem name="ai[183].isInvScale" advise="1">
        <values>
          <value>
            <val>0</val>
          </value>
        </values>
      </ddeItem>
      <ddeItem name="ai[183].L.EN" advise="1">
        <values>
          <value>
            <val>0</val>
          </value>
        </values>
      </ddeItem>
      <ddeItem name="ai[183].L.fix" advise="1">
        <values>
          <value>
            <val>0</val>
          </value>
        </values>
      </ddeItem>
      <ddeItem name="ai[183].L.V" advise="1">
        <values>
          <value>
            <val>0</val>
          </value>
        </values>
      </ddeItem>
      <ddeItem name="ai[183].LL.EN" advise="1">
        <values>
          <value>
            <val>0</val>
          </value>
        </values>
      </ddeItem>
      <ddeItem name="ai[183].LL.fix" advise="1">
        <values>
          <value>
            <val>0</val>
          </value>
        </values>
      </ddeItem>
      <ddeItem name="ai[183].LL.V" advise="1">
        <values>
          <value>
            <val>0</val>
          </value>
        </values>
      </ddeItem>
      <ddeItem name="ai[183].RH.EN" advise="1">
        <values>
          <value>
            <val>1</val>
          </value>
        </values>
      </ddeItem>
      <ddeItem name="ai[183].RH.fix" advise="1">
        <values>
          <value>
            <val>0</val>
          </value>
        </values>
      </ddeItem>
      <ddeItem name="ai[183].RH.V" advise="1">
        <values>
          <value>
            <val>85</val>
          </value>
        </values>
      </ddeItem>
      <ddeItem name="ai[183].RL.EN" advise="1">
        <values>
          <value>
            <val>1</val>
          </value>
        </values>
      </ddeItem>
      <ddeItem name="ai[183].RL.fix" advise="1">
        <values>
          <value>
            <val>0</val>
          </value>
        </values>
      </ddeItem>
      <ddeItem name="ai[183].RL.V" advise="1">
        <values>
          <value>
            <val>0</val>
          </value>
        </values>
      </ddeItem>
      <ddeItem name="ai[183].state" advise="1">
        <values>
          <value>
            <val>4</val>
          </value>
        </values>
      </ddeItem>
      <ddeItem name="ai[183].v" advise="1">
        <values>
          <value>
            <val>0</val>
          </value>
        </values>
      </ddeItem>
      <ddeItem name="ai[183].vCorrect" advise="1"/>
      <ddeItem name="ai[183].vCut" advise="1"/>
      <ddeItem name="ai[183].vRaw" advise="1"/>
      <ddeItem name="ai[183].ZH" advise="1">
        <values>
          <value>
            <val>100</val>
          </value>
        </values>
      </ddeItem>
      <ddeItem name="ai[183].ZL" advise="1">
        <values>
          <value>
            <val>0</val>
          </value>
        </values>
      </ddeItem>
      <ddeItem name="ai[184].break.sgn" advise="1">
        <values>
          <value>
            <val>1</val>
          </value>
        </values>
      </ddeItem>
      <ddeItem name="ai[184].EN" advise="1">
        <values>
          <value>
            <val>1</val>
          </value>
        </values>
      </ddeItem>
      <ddeItem name="ai[184].group" advise="1">
        <values>
          <value>
            <val>4</val>
          </value>
        </values>
      </ddeItem>
      <ddeItem name="ai[184].H.EN" advise="1">
        <values>
          <value>
            <val>0</val>
          </value>
        </values>
      </ddeItem>
      <ddeItem name="ai[184].H.fix" advise="1">
        <values>
          <value>
            <val>0</val>
          </value>
        </values>
      </ddeItem>
      <ddeItem name="ai[184].H.V" advise="1">
        <values>
          <value>
            <val>0</val>
          </value>
        </values>
      </ddeItem>
      <ddeItem name="ai[184].HH.EN" advise="1">
        <values>
          <value>
            <val>0</val>
          </value>
        </values>
      </ddeItem>
      <ddeItem name="ai[184].HH.fix" advise="1">
        <values>
          <value>
            <val>0</val>
          </value>
        </values>
      </ddeItem>
      <ddeItem name="ai[184].HH.V" advise="1">
        <values>
          <value>
            <val>0</val>
          </value>
        </values>
      </ddeItem>
      <ddeItem name="ai[184].i" advise="1">
        <values>
          <value>
            <val>9.4223020000000002E-4</val>
          </value>
        </values>
      </ddeItem>
      <ddeItem name="ai[184].isCorrect" advise="1">
        <values>
          <value>
            <val>0</val>
          </value>
        </values>
      </ddeItem>
      <ddeItem name="ai[184].isCut" advise="1"/>
      <ddeItem name="ai[184].isForce" advise="1">
        <values>
          <value>
            <val>0</val>
          </value>
        </values>
      </ddeItem>
      <ddeItem name="ai[184].isInvScale" advise="1">
        <values>
          <value>
            <val>0</val>
          </value>
        </values>
      </ddeItem>
      <ddeItem name="ai[184].L.EN" advise="1">
        <values>
          <value>
            <val>0</val>
          </value>
        </values>
      </ddeItem>
      <ddeItem name="ai[184].L.fix" advise="1">
        <values>
          <value>
            <val>0</val>
          </value>
        </values>
      </ddeItem>
      <ddeItem name="ai[184].L.V" advise="1">
        <values>
          <value>
            <val>0</val>
          </value>
        </values>
      </ddeItem>
      <ddeItem name="ai[184].LL.EN" advise="1">
        <values>
          <value>
            <val>0</val>
          </value>
        </values>
      </ddeItem>
      <ddeItem name="ai[184].LL.fix" advise="1">
        <values>
          <value>
            <val>0</val>
          </value>
        </values>
      </ddeItem>
      <ddeItem name="ai[184].LL.V" advise="1">
        <values>
          <value>
            <val>0</val>
          </value>
        </values>
      </ddeItem>
      <ddeItem name="ai[184].RH.EN" advise="1">
        <values>
          <value>
            <val>1</val>
          </value>
        </values>
      </ddeItem>
      <ddeItem name="ai[184].RH.fix" advise="1">
        <values>
          <value>
            <val>0</val>
          </value>
        </values>
      </ddeItem>
      <ddeItem name="ai[184].RH.V" advise="1">
        <values>
          <value>
            <val>210</val>
          </value>
        </values>
      </ddeItem>
      <ddeItem name="ai[184].RL.EN" advise="1">
        <values>
          <value>
            <val>1</val>
          </value>
        </values>
      </ddeItem>
      <ddeItem name="ai[184].RL.fix" advise="1">
        <values>
          <value>
            <val>0</val>
          </value>
        </values>
      </ddeItem>
      <ddeItem name="ai[184].RL.V" advise="1">
        <values>
          <value>
            <val>125</val>
          </value>
        </values>
      </ddeItem>
      <ddeItem name="ai[184].state" advise="1">
        <values>
          <value>
            <val>4</val>
          </value>
        </values>
      </ddeItem>
      <ddeItem name="ai[184].v" advise="1">
        <values>
          <value>
            <val>0</val>
          </value>
        </values>
      </ddeItem>
      <ddeItem name="ai[184].vCorrect" advise="1"/>
      <ddeItem name="ai[184].vCut" advise="1"/>
      <ddeItem name="ai[184].vRaw" advise="1"/>
      <ddeItem name="ai[184].ZH" advise="1">
        <values>
          <value>
            <val>300</val>
          </value>
        </values>
      </ddeItem>
      <ddeItem name="ai[184].ZL" advise="1">
        <values>
          <value>
            <val>0</val>
          </value>
        </values>
      </ddeItem>
      <ddeItem name="ai[185].break.sgn" advise="1">
        <values>
          <value>
            <val>1</val>
          </value>
        </values>
      </ddeItem>
      <ddeItem name="ai[185].EN" advise="1">
        <values>
          <value>
            <val>1</val>
          </value>
        </values>
      </ddeItem>
      <ddeItem name="ai[185].group" advise="1">
        <values>
          <value>
            <val>4</val>
          </value>
        </values>
      </ddeItem>
      <ddeItem name="ai[185].H.EN" advise="1">
        <values>
          <value>
            <val>0</val>
          </value>
        </values>
      </ddeItem>
      <ddeItem name="ai[185].H.fix" advise="1">
        <values>
          <value>
            <val>0</val>
          </value>
        </values>
      </ddeItem>
      <ddeItem name="ai[185].H.V" advise="1">
        <values>
          <value>
            <val>0</val>
          </value>
        </values>
      </ddeItem>
      <ddeItem name="ai[185].HH.EN" advise="1">
        <values>
          <value>
            <val>0</val>
          </value>
        </values>
      </ddeItem>
      <ddeItem name="ai[185].HH.fix" advise="1">
        <values>
          <value>
            <val>0</val>
          </value>
        </values>
      </ddeItem>
      <ddeItem name="ai[185].HH.V" advise="1">
        <values>
          <value>
            <val>0</val>
          </value>
        </values>
      </ddeItem>
      <ddeItem name="ai[185].i" advise="1">
        <values>
          <value>
            <val>9.4223020000000002E-4</val>
          </value>
        </values>
      </ddeItem>
      <ddeItem name="ai[185].isCorrect" advise="1">
        <values>
          <value>
            <val>0</val>
          </value>
        </values>
      </ddeItem>
      <ddeItem name="ai[185].isCut" advise="1"/>
      <ddeItem name="ai[185].isForce" advise="1">
        <values>
          <value>
            <val>0</val>
          </value>
        </values>
      </ddeItem>
      <ddeItem name="ai[185].isInvScale" advise="1">
        <values>
          <value>
            <val>0</val>
          </value>
        </values>
      </ddeItem>
      <ddeItem name="ai[185].L.EN" advise="1">
        <values>
          <value>
            <val>0</val>
          </value>
        </values>
      </ddeItem>
      <ddeItem name="ai[185].L.fix" advise="1">
        <values>
          <value>
            <val>0</val>
          </value>
        </values>
      </ddeItem>
      <ddeItem name="ai[185].L.V" advise="1">
        <values>
          <value>
            <val>0</val>
          </value>
        </values>
      </ddeItem>
      <ddeItem name="ai[185].LL.EN" advise="1">
        <values>
          <value>
            <val>0</val>
          </value>
        </values>
      </ddeItem>
      <ddeItem name="ai[185].LL.fix" advise="1">
        <values>
          <value>
            <val>0</val>
          </value>
        </values>
      </ddeItem>
      <ddeItem name="ai[185].LL.V" advise="1">
        <values>
          <value>
            <val>0</val>
          </value>
        </values>
      </ddeItem>
      <ddeItem name="ai[185].RH.EN" advise="1">
        <values>
          <value>
            <val>1</val>
          </value>
        </values>
      </ddeItem>
      <ddeItem name="ai[185].RH.fix" advise="1">
        <values>
          <value>
            <val>0</val>
          </value>
        </values>
      </ddeItem>
      <ddeItem name="ai[185].RH.V" advise="1">
        <values>
          <value>
            <val>210</val>
          </value>
        </values>
      </ddeItem>
      <ddeItem name="ai[185].RL.EN" advise="1">
        <values>
          <value>
            <val>1</val>
          </value>
        </values>
      </ddeItem>
      <ddeItem name="ai[185].RL.fix" advise="1">
        <values>
          <value>
            <val>0</val>
          </value>
        </values>
      </ddeItem>
      <ddeItem name="ai[185].RL.V" advise="1">
        <values>
          <value>
            <val>125</val>
          </value>
        </values>
      </ddeItem>
      <ddeItem name="ai[185].state" advise="1">
        <values>
          <value>
            <val>4</val>
          </value>
        </values>
      </ddeItem>
      <ddeItem name="ai[185].v" advise="1">
        <values>
          <value>
            <val>0</val>
          </value>
        </values>
      </ddeItem>
      <ddeItem name="ai[185].vCorrect" advise="1"/>
      <ddeItem name="ai[185].vCut" advise="1"/>
      <ddeItem name="ai[185].vRaw" advise="1"/>
      <ddeItem name="ai[185].ZH" advise="1">
        <values>
          <value>
            <val>300</val>
          </value>
        </values>
      </ddeItem>
      <ddeItem name="ai[185].ZL" advise="1">
        <values>
          <value>
            <val>0</val>
          </value>
        </values>
      </ddeItem>
      <ddeItem name="ai[186].break.sgn" advise="1">
        <values>
          <value>
            <val>1</val>
          </value>
        </values>
      </ddeItem>
      <ddeItem name="ai[186].EN" advise="1">
        <values>
          <value>
            <val>1</val>
          </value>
        </values>
      </ddeItem>
      <ddeItem name="ai[186].group" advise="1">
        <values>
          <value>
            <val>4</val>
          </value>
        </values>
      </ddeItem>
      <ddeItem name="ai[186].H.EN" advise="1">
        <values>
          <value>
            <val>0</val>
          </value>
        </values>
      </ddeItem>
      <ddeItem name="ai[186].H.fix" advise="1">
        <values>
          <value>
            <val>0</val>
          </value>
        </values>
      </ddeItem>
      <ddeItem name="ai[186].H.V" advise="1">
        <values>
          <value>
            <val>0</val>
          </value>
        </values>
      </ddeItem>
      <ddeItem name="ai[186].HH.EN" advise="1">
        <values>
          <value>
            <val>0</val>
          </value>
        </values>
      </ddeItem>
      <ddeItem name="ai[186].HH.fix" advise="1">
        <values>
          <value>
            <val>0</val>
          </value>
        </values>
      </ddeItem>
      <ddeItem name="ai[186].HH.V" advise="1">
        <values>
          <value>
            <val>0</val>
          </value>
        </values>
      </ddeItem>
      <ddeItem name="ai[186].i" advise="1">
        <values>
          <value>
            <val>1.2559890000000001E-3</val>
          </value>
        </values>
      </ddeItem>
      <ddeItem name="ai[186].isCorrect" advise="1">
        <values>
          <value>
            <val>0</val>
          </value>
        </values>
      </ddeItem>
      <ddeItem name="ai[186].isCut" advise="1"/>
      <ddeItem name="ai[186].isForce" advise="1">
        <values>
          <value>
            <val>0</val>
          </value>
        </values>
      </ddeItem>
      <ddeItem name="ai[186].isInvScale" advise="1">
        <values>
          <value>
            <val>0</val>
          </value>
        </values>
      </ddeItem>
      <ddeItem name="ai[186].L.EN" advise="1">
        <values>
          <value>
            <val>0</val>
          </value>
        </values>
      </ddeItem>
      <ddeItem name="ai[186].L.fix" advise="1">
        <values>
          <value>
            <val>0</val>
          </value>
        </values>
      </ddeItem>
      <ddeItem name="ai[186].L.V" advise="1">
        <values>
          <value>
            <val>0</val>
          </value>
        </values>
      </ddeItem>
      <ddeItem name="ai[186].LL.EN" advise="1">
        <values>
          <value>
            <val>0</val>
          </value>
        </values>
      </ddeItem>
      <ddeItem name="ai[186].LL.fix" advise="1">
        <values>
          <value>
            <val>0</val>
          </value>
        </values>
      </ddeItem>
      <ddeItem name="ai[186].LL.V" advise="1">
        <values>
          <value>
            <val>0</val>
          </value>
        </values>
      </ddeItem>
      <ddeItem name="ai[186].RH.EN" advise="1">
        <values>
          <value>
            <val>1</val>
          </value>
        </values>
      </ddeItem>
      <ddeItem name="ai[186].RH.fix" advise="1">
        <values>
          <value>
            <val>0</val>
          </value>
        </values>
      </ddeItem>
      <ddeItem name="ai[186].RH.V" advise="1">
        <values>
          <value>
            <val>210</val>
          </value>
        </values>
      </ddeItem>
      <ddeItem name="ai[186].RL.EN" advise="1">
        <values>
          <value>
            <val>1</val>
          </value>
        </values>
      </ddeItem>
      <ddeItem name="ai[186].RL.fix" advise="1">
        <values>
          <value>
            <val>0</val>
          </value>
        </values>
      </ddeItem>
      <ddeItem name="ai[186].RL.V" advise="1">
        <values>
          <value>
            <val>125</val>
          </value>
        </values>
      </ddeItem>
      <ddeItem name="ai[186].state" advise="1">
        <values>
          <value>
            <val>4</val>
          </value>
        </values>
      </ddeItem>
      <ddeItem name="ai[186].v" advise="1">
        <values>
          <value>
            <val>0</val>
          </value>
        </values>
      </ddeItem>
      <ddeItem name="ai[186].vCorrect" advise="1"/>
      <ddeItem name="ai[186].vCut" advise="1"/>
      <ddeItem name="ai[186].vRaw" advise="1"/>
      <ddeItem name="ai[186].ZH" advise="1">
        <values>
          <value>
            <val>300</val>
          </value>
        </values>
      </ddeItem>
      <ddeItem name="ai[186].ZL" advise="1">
        <values>
          <value>
            <val>0</val>
          </value>
        </values>
      </ddeItem>
      <ddeItem name="ai[187].break.sgn" advise="1">
        <values>
          <value>
            <val>1</val>
          </value>
        </values>
      </ddeItem>
      <ddeItem name="ai[187].EN" advise="1">
        <values>
          <value>
            <val>1</val>
          </value>
        </values>
      </ddeItem>
      <ddeItem name="ai[187].group" advise="1">
        <values>
          <value>
            <val>4</val>
          </value>
        </values>
      </ddeItem>
      <ddeItem name="ai[187].H.EN" advise="1">
        <values>
          <value>
            <val>0</val>
          </value>
        </values>
      </ddeItem>
      <ddeItem name="ai[187].H.fix" advise="1">
        <values>
          <value>
            <val>0</val>
          </value>
        </values>
      </ddeItem>
      <ddeItem name="ai[187].H.V" advise="1">
        <values>
          <value>
            <val>0</val>
          </value>
        </values>
      </ddeItem>
      <ddeItem name="ai[187].HH.EN" advise="1">
        <values>
          <value>
            <val>0</val>
          </value>
        </values>
      </ddeItem>
      <ddeItem name="ai[187].HH.fix" advise="1">
        <values>
          <value>
            <val>0</val>
          </value>
        </values>
      </ddeItem>
      <ddeItem name="ai[187].HH.V" advise="1">
        <values>
          <value>
            <val>0</val>
          </value>
        </values>
      </ddeItem>
      <ddeItem name="ai[187].i" advise="1">
        <values>
          <value>
            <val>1.2559890000000001E-3</val>
          </value>
        </values>
      </ddeItem>
      <ddeItem name="ai[187].isCorrect" advise="1">
        <values>
          <value>
            <val>0</val>
          </value>
        </values>
      </ddeItem>
      <ddeItem name="ai[187].isCut" advise="1"/>
      <ddeItem name="ai[187].isForce" advise="1">
        <values>
          <value>
            <val>0</val>
          </value>
        </values>
      </ddeItem>
      <ddeItem name="ai[187].isInvScale" advise="1">
        <values>
          <value>
            <val>0</val>
          </value>
        </values>
      </ddeItem>
      <ddeItem name="ai[187].L.EN" advise="1">
        <values>
          <value>
            <val>0</val>
          </value>
        </values>
      </ddeItem>
      <ddeItem name="ai[187].L.fix" advise="1">
        <values>
          <value>
            <val>0</val>
          </value>
        </values>
      </ddeItem>
      <ddeItem name="ai[187].L.V" advise="1">
        <values>
          <value>
            <val>0</val>
          </value>
        </values>
      </ddeItem>
      <ddeItem name="ai[187].LL.EN" advise="1">
        <values>
          <value>
            <val>0</val>
          </value>
        </values>
      </ddeItem>
      <ddeItem name="ai[187].LL.fix" advise="1">
        <values>
          <value>
            <val>0</val>
          </value>
        </values>
      </ddeItem>
      <ddeItem name="ai[187].LL.V" advise="1">
        <values>
          <value>
            <val>0</val>
          </value>
        </values>
      </ddeItem>
      <ddeItem name="ai[187].RH.EN" advise="1">
        <values>
          <value>
            <val>0</val>
          </value>
        </values>
      </ddeItem>
      <ddeItem name="ai[187].RH.fix" advise="1">
        <values>
          <value>
            <val>0</val>
          </value>
        </values>
      </ddeItem>
      <ddeItem name="ai[187].RH.V" advise="1">
        <values>
          <value>
            <val>0</val>
          </value>
        </values>
      </ddeItem>
      <ddeItem name="ai[187].RL.EN" advise="1">
        <values>
          <value>
            <val>0</val>
          </value>
        </values>
      </ddeItem>
      <ddeItem name="ai[187].RL.fix" advise="1">
        <values>
          <value>
            <val>0</val>
          </value>
        </values>
      </ddeItem>
      <ddeItem name="ai[187].RL.V" advise="1">
        <values>
          <value>
            <val>0</val>
          </value>
        </values>
      </ddeItem>
      <ddeItem name="ai[187].state" advise="1">
        <values>
          <value>
            <val>4</val>
          </value>
        </values>
      </ddeItem>
      <ddeItem name="ai[187].v" advise="1">
        <values>
          <value>
            <val>0</val>
          </value>
        </values>
      </ddeItem>
      <ddeItem name="ai[187].vCorrect" advise="1"/>
      <ddeItem name="ai[187].vCut" advise="1"/>
      <ddeItem name="ai[187].vRaw" advise="1"/>
      <ddeItem name="ai[187].ZH" advise="1">
        <values>
          <value>
            <val>100</val>
          </value>
        </values>
      </ddeItem>
      <ddeItem name="ai[187].ZL" advise="1">
        <values>
          <value>
            <val>0</val>
          </value>
        </values>
      </ddeItem>
      <ddeItem name="ai[188].break.sgn" advise="1">
        <values>
          <value>
            <val>0</val>
          </value>
        </values>
      </ddeItem>
      <ddeItem name="ai[188].EN" advise="1">
        <values>
          <value>
            <val>0</val>
          </value>
        </values>
      </ddeItem>
      <ddeItem name="ai[188].group" advise="1">
        <values>
          <value>
            <val>0</val>
          </value>
        </values>
      </ddeItem>
      <ddeItem name="ai[188].H.EN" advise="1">
        <values>
          <value>
            <val>0</val>
          </value>
        </values>
      </ddeItem>
      <ddeItem name="ai[188].H.fix" advise="1">
        <values>
          <value>
            <val>0</val>
          </value>
        </values>
      </ddeItem>
      <ddeItem name="ai[188].H.V" advise="1">
        <values>
          <value>
            <val>0</val>
          </value>
        </values>
      </ddeItem>
      <ddeItem name="ai[188].HH.EN" advise="1">
        <values>
          <value>
            <val>0</val>
          </value>
        </values>
      </ddeItem>
      <ddeItem name="ai[188].HH.fix" advise="1">
        <values>
          <value>
            <val>0</val>
          </value>
        </values>
      </ddeItem>
      <ddeItem name="ai[188].HH.V" advise="1">
        <values>
          <value>
            <val>0</val>
          </value>
        </values>
      </ddeItem>
      <ddeItem name="ai[188].i" advise="1">
        <values>
          <value>
            <val>0</val>
          </value>
        </values>
      </ddeItem>
      <ddeItem name="ai[188].isCorrect" advise="1">
        <values>
          <value>
            <val>0</val>
          </value>
        </values>
      </ddeItem>
      <ddeItem name="ai[188].isCut" advise="1"/>
      <ddeItem name="ai[188].isForce" advise="1">
        <values>
          <value>
            <val>0</val>
          </value>
        </values>
      </ddeItem>
      <ddeItem name="ai[188].isInvScale" advise="1">
        <values>
          <value>
            <val>0</val>
          </value>
        </values>
      </ddeItem>
      <ddeItem name="ai[188].L.EN" advise="1">
        <values>
          <value>
            <val>0</val>
          </value>
        </values>
      </ddeItem>
      <ddeItem name="ai[188].L.fix" advise="1">
        <values>
          <value>
            <val>0</val>
          </value>
        </values>
      </ddeItem>
      <ddeItem name="ai[188].L.V" advise="1">
        <values>
          <value>
            <val>0</val>
          </value>
        </values>
      </ddeItem>
      <ddeItem name="ai[188].LL.EN" advise="1">
        <values>
          <value>
            <val>0</val>
          </value>
        </values>
      </ddeItem>
      <ddeItem name="ai[188].LL.fix" advise="1">
        <values>
          <value>
            <val>0</val>
          </value>
        </values>
      </ddeItem>
      <ddeItem name="ai[188].LL.V" advise="1">
        <values>
          <value>
            <val>0</val>
          </value>
        </values>
      </ddeItem>
      <ddeItem name="ai[188].RH.EN" advise="1">
        <values>
          <value>
            <val>0</val>
          </value>
        </values>
      </ddeItem>
      <ddeItem name="ai[188].RH.fix" advise="1">
        <values>
          <value>
            <val>0</val>
          </value>
        </values>
      </ddeItem>
      <ddeItem name="ai[188].RH.V" advise="1">
        <values>
          <value>
            <val>0</val>
          </value>
        </values>
      </ddeItem>
      <ddeItem name="ai[188].RL.EN" advise="1">
        <values>
          <value>
            <val>0</val>
          </value>
        </values>
      </ddeItem>
      <ddeItem name="ai[188].RL.fix" advise="1">
        <values>
          <value>
            <val>0</val>
          </value>
        </values>
      </ddeItem>
      <ddeItem name="ai[188].RL.V" advise="1">
        <values>
          <value>
            <val>0</val>
          </value>
        </values>
      </ddeItem>
      <ddeItem name="ai[188].state" advise="1">
        <values>
          <value>
            <val>4</val>
          </value>
        </values>
      </ddeItem>
      <ddeItem name="ai[188].v" advise="1">
        <values>
          <value>
            <val>0</val>
          </value>
        </values>
      </ddeItem>
      <ddeItem name="ai[188].vCorrect" advise="1"/>
      <ddeItem name="ai[188].vCut" advise="1"/>
      <ddeItem name="ai[188].vRaw" advise="1"/>
      <ddeItem name="ai[188].ZH" advise="1">
        <values>
          <value>
            <val>0</val>
          </value>
        </values>
      </ddeItem>
      <ddeItem name="ai[188].ZL" advise="1">
        <values>
          <value>
            <val>0</val>
          </value>
        </values>
      </ddeItem>
      <ddeItem name="ai[189].break.sgn" advise="1">
        <values>
          <value>
            <val>0</val>
          </value>
        </values>
      </ddeItem>
      <ddeItem name="ai[189].EN" advise="1">
        <values>
          <value>
            <val>0</val>
          </value>
        </values>
      </ddeItem>
      <ddeItem name="ai[189].group" advise="1">
        <values>
          <value>
            <val>0</val>
          </value>
        </values>
      </ddeItem>
      <ddeItem name="ai[189].H.EN" advise="1">
        <values>
          <value>
            <val>0</val>
          </value>
        </values>
      </ddeItem>
      <ddeItem name="ai[189].H.fix" advise="1">
        <values>
          <value>
            <val>0</val>
          </value>
        </values>
      </ddeItem>
      <ddeItem name="ai[189].H.V" advise="1">
        <values>
          <value>
            <val>0</val>
          </value>
        </values>
      </ddeItem>
      <ddeItem name="ai[189].HH.EN" advise="1">
        <values>
          <value>
            <val>0</val>
          </value>
        </values>
      </ddeItem>
      <ddeItem name="ai[189].HH.fix" advise="1">
        <values>
          <value>
            <val>0</val>
          </value>
        </values>
      </ddeItem>
      <ddeItem name="ai[189].HH.V" advise="1">
        <values>
          <value>
            <val>0</val>
          </value>
        </values>
      </ddeItem>
      <ddeItem name="ai[189].i" advise="1">
        <values>
          <value>
            <val>0</val>
          </value>
        </values>
      </ddeItem>
      <ddeItem name="ai[189].isCorrect" advise="1">
        <values>
          <value>
            <val>0</val>
          </value>
        </values>
      </ddeItem>
      <ddeItem name="ai[189].isCut" advise="1"/>
      <ddeItem name="ai[189].isForce" advise="1">
        <values>
          <value>
            <val>0</val>
          </value>
        </values>
      </ddeItem>
      <ddeItem name="ai[189].isInvScale" advise="1">
        <values>
          <value>
            <val>0</val>
          </value>
        </values>
      </ddeItem>
      <ddeItem name="ai[189].L.EN" advise="1">
        <values>
          <value>
            <val>0</val>
          </value>
        </values>
      </ddeItem>
      <ddeItem name="ai[189].L.fix" advise="1">
        <values>
          <value>
            <val>0</val>
          </value>
        </values>
      </ddeItem>
      <ddeItem name="ai[189].L.V" advise="1">
        <values>
          <value>
            <val>0</val>
          </value>
        </values>
      </ddeItem>
      <ddeItem name="ai[189].LL.EN" advise="1">
        <values>
          <value>
            <val>0</val>
          </value>
        </values>
      </ddeItem>
      <ddeItem name="ai[189].LL.fix" advise="1">
        <values>
          <value>
            <val>0</val>
          </value>
        </values>
      </ddeItem>
      <ddeItem name="ai[189].LL.V" advise="1">
        <values>
          <value>
            <val>0</val>
          </value>
        </values>
      </ddeItem>
      <ddeItem name="ai[189].RH.EN" advise="1">
        <values>
          <value>
            <val>0</val>
          </value>
        </values>
      </ddeItem>
      <ddeItem name="ai[189].RH.fix" advise="1">
        <values>
          <value>
            <val>0</val>
          </value>
        </values>
      </ddeItem>
      <ddeItem name="ai[189].RH.V" advise="1">
        <values>
          <value>
            <val>0</val>
          </value>
        </values>
      </ddeItem>
      <ddeItem name="ai[189].RL.EN" advise="1">
        <values>
          <value>
            <val>0</val>
          </value>
        </values>
      </ddeItem>
      <ddeItem name="ai[189].RL.fix" advise="1">
        <values>
          <value>
            <val>0</val>
          </value>
        </values>
      </ddeItem>
      <ddeItem name="ai[189].RL.V" advise="1">
        <values>
          <value>
            <val>0</val>
          </value>
        </values>
      </ddeItem>
      <ddeItem name="ai[189].state" advise="1">
        <values>
          <value>
            <val>4</val>
          </value>
        </values>
      </ddeItem>
      <ddeItem name="ai[189].v" advise="1">
        <values>
          <value>
            <val>0</val>
          </value>
        </values>
      </ddeItem>
      <ddeItem name="ai[189].vCorrect" advise="1"/>
      <ddeItem name="ai[189].vCut" advise="1"/>
      <ddeItem name="ai[189].vRaw" advise="1"/>
      <ddeItem name="ai[189].ZH" advise="1">
        <values>
          <value>
            <val>0</val>
          </value>
        </values>
      </ddeItem>
      <ddeItem name="ai[189].ZL" advise="1">
        <values>
          <value>
            <val>0</val>
          </value>
        </values>
      </ddeItem>
      <ddeItem name="AI[19].break.sgn" advise="1">
        <values>
          <value>
            <val>1</val>
          </value>
        </values>
      </ddeItem>
      <ddeItem name="AI[19].EN" advise="1">
        <values>
          <value>
            <val>1</val>
          </value>
        </values>
      </ddeItem>
      <ddeItem name="AI[19].group" advise="1">
        <values>
          <value>
            <val>1</val>
          </value>
        </values>
      </ddeItem>
      <ddeItem name="AI[19].H.EN" advise="1">
        <values>
          <value>
            <val>0</val>
          </value>
        </values>
      </ddeItem>
      <ddeItem name="AI[19].H.fix" advise="1">
        <values>
          <value>
            <val>0</val>
          </value>
        </values>
      </ddeItem>
      <ddeItem name="AI[19].H.V" advise="1">
        <values>
          <value>
            <val>0</val>
          </value>
        </values>
      </ddeItem>
      <ddeItem name="AI[19].HH.EN" advise="1">
        <values>
          <value>
            <val>0</val>
          </value>
        </values>
      </ddeItem>
      <ddeItem name="AI[19].HH.fix" advise="1">
        <values>
          <value>
            <val>0</val>
          </value>
        </values>
      </ddeItem>
      <ddeItem name="AI[19].HH.V" advise="1">
        <values>
          <value>
            <val>0</val>
          </value>
        </values>
      </ddeItem>
      <ddeItem name="AI[19].i" advise="1">
        <values>
          <value>
            <val>4.7111510000000002E-3</val>
          </value>
        </values>
      </ddeItem>
      <ddeItem name="AI[19].isCorrect" advise="1">
        <values>
          <value>
            <val>0</val>
          </value>
        </values>
      </ddeItem>
      <ddeItem name="AI[19].isCut" advise="1"/>
      <ddeItem name="AI[19].isForce" advise="1">
        <values>
          <value>
            <val>0</val>
          </value>
        </values>
      </ddeItem>
      <ddeItem name="AI[19].isInvScale" advise="1">
        <values>
          <value>
            <val>0</val>
          </value>
        </values>
      </ddeItem>
      <ddeItem name="AI[19].L.EN" advise="1">
        <values>
          <value>
            <val>0</val>
          </value>
        </values>
      </ddeItem>
      <ddeItem name="AI[19].L.fix" advise="1">
        <values>
          <value>
            <val>0</val>
          </value>
        </values>
      </ddeItem>
      <ddeItem name="AI[19].L.V" advise="1">
        <values>
          <value>
            <val>0</val>
          </value>
        </values>
      </ddeItem>
      <ddeItem name="AI[19].LL.EN" advise="1">
        <values>
          <value>
            <val>0</val>
          </value>
        </values>
      </ddeItem>
      <ddeItem name="AI[19].LL.fix" advise="1">
        <values>
          <value>
            <val>0</val>
          </value>
        </values>
      </ddeItem>
      <ddeItem name="AI[19].LL.V" advise="1">
        <values>
          <value>
            <val>0</val>
          </value>
        </values>
      </ddeItem>
      <ddeItem name="AI[19].RH.EN" advise="1">
        <values>
          <value>
            <val>1</val>
          </value>
        </values>
      </ddeItem>
      <ddeItem name="AI[19].RH.fix" advise="1">
        <values>
          <value>
            <val>0</val>
          </value>
        </values>
      </ddeItem>
      <ddeItem name="AI[19].RH.V" advise="1">
        <values>
          <value>
            <val>80</val>
          </value>
        </values>
      </ddeItem>
      <ddeItem name="AI[19].RL.EN" advise="1">
        <values>
          <value>
            <val>1</val>
          </value>
        </values>
      </ddeItem>
      <ddeItem name="AI[19].RL.fix" advise="1">
        <values>
          <value>
            <val>0</val>
          </value>
        </values>
      </ddeItem>
      <ddeItem name="AI[19].RL.V" advise="1">
        <values>
          <value>
            <val>20</val>
          </value>
        </values>
      </ddeItem>
      <ddeItem name="AI[19].state" advise="1">
        <values>
          <value>
            <val>4</val>
          </value>
        </values>
      </ddeItem>
      <ddeItem name="AI[19].v" advise="1">
        <values>
          <value>
            <val>0</val>
          </value>
        </values>
      </ddeItem>
      <ddeItem name="AI[19].vCorrect" advise="1"/>
      <ddeItem name="AI[19].vCut" advise="1"/>
      <ddeItem name="AI[19].vRaw" advise="1"/>
      <ddeItem name="AI[19].ZH" advise="1">
        <values>
          <value>
            <val>100</val>
          </value>
        </values>
      </ddeItem>
      <ddeItem name="AI[19].ZL" advise="1">
        <values>
          <value>
            <val>0</val>
          </value>
        </values>
      </ddeItem>
      <ddeItem name="ai[190].break.sgn" advise="1">
        <values>
          <value>
            <val>0</val>
          </value>
        </values>
      </ddeItem>
      <ddeItem name="ai[190].EN" advise="1">
        <values>
          <value>
            <val>0</val>
          </value>
        </values>
      </ddeItem>
      <ddeItem name="ai[190].group" advise="1">
        <values>
          <value>
            <val>0</val>
          </value>
        </values>
      </ddeItem>
      <ddeItem name="ai[190].H.EN" advise="1">
        <values>
          <value>
            <val>0</val>
          </value>
        </values>
      </ddeItem>
      <ddeItem name="ai[190].H.fix" advise="1">
        <values>
          <value>
            <val>0</val>
          </value>
        </values>
      </ddeItem>
      <ddeItem name="ai[190].H.V" advise="1">
        <values>
          <value>
            <val>0</val>
          </value>
        </values>
      </ddeItem>
      <ddeItem name="ai[190].HH.EN" advise="1">
        <values>
          <value>
            <val>0</val>
          </value>
        </values>
      </ddeItem>
      <ddeItem name="ai[190].HH.fix" advise="1">
        <values>
          <value>
            <val>0</val>
          </value>
        </values>
      </ddeItem>
      <ddeItem name="ai[190].HH.V" advise="1">
        <values>
          <value>
            <val>0</val>
          </value>
        </values>
      </ddeItem>
      <ddeItem name="ai[190].i" advise="1">
        <values>
          <value>
            <val>0</val>
          </value>
        </values>
      </ddeItem>
      <ddeItem name="ai[190].isCorrect" advise="1">
        <values>
          <value>
            <val>0</val>
          </value>
        </values>
      </ddeItem>
      <ddeItem name="ai[190].isCut" advise="1"/>
      <ddeItem name="ai[190].isForce" advise="1">
        <values>
          <value>
            <val>0</val>
          </value>
        </values>
      </ddeItem>
      <ddeItem name="ai[190].isInvScale" advise="1">
        <values>
          <value>
            <val>0</val>
          </value>
        </values>
      </ddeItem>
      <ddeItem name="ai[190].L.EN" advise="1">
        <values>
          <value>
            <val>0</val>
          </value>
        </values>
      </ddeItem>
      <ddeItem name="ai[190].L.fix" advise="1">
        <values>
          <value>
            <val>0</val>
          </value>
        </values>
      </ddeItem>
      <ddeItem name="ai[190].L.V" advise="1">
        <values>
          <value>
            <val>0</val>
          </value>
        </values>
      </ddeItem>
      <ddeItem name="ai[190].LL.EN" advise="1">
        <values>
          <value>
            <val>0</val>
          </value>
        </values>
      </ddeItem>
      <ddeItem name="ai[190].LL.fix" advise="1">
        <values>
          <value>
            <val>0</val>
          </value>
        </values>
      </ddeItem>
      <ddeItem name="ai[190].LL.V" advise="1">
        <values>
          <value>
            <val>0</val>
          </value>
        </values>
      </ddeItem>
      <ddeItem name="ai[190].RH.EN" advise="1">
        <values>
          <value>
            <val>0</val>
          </value>
        </values>
      </ddeItem>
      <ddeItem name="ai[190].RH.fix" advise="1">
        <values>
          <value>
            <val>0</val>
          </value>
        </values>
      </ddeItem>
      <ddeItem name="ai[190].RH.V" advise="1">
        <values>
          <value>
            <val>0</val>
          </value>
        </values>
      </ddeItem>
      <ddeItem name="ai[190].RL.EN" advise="1">
        <values>
          <value>
            <val>0</val>
          </value>
        </values>
      </ddeItem>
      <ddeItem name="ai[190].RL.fix" advise="1">
        <values>
          <value>
            <val>0</val>
          </value>
        </values>
      </ddeItem>
      <ddeItem name="ai[190].RL.V" advise="1">
        <values>
          <value>
            <val>0</val>
          </value>
        </values>
      </ddeItem>
      <ddeItem name="ai[190].state" advise="1">
        <values>
          <value>
            <val>4</val>
          </value>
        </values>
      </ddeItem>
      <ddeItem name="ai[190].v" advise="1">
        <values>
          <value>
            <val>0</val>
          </value>
        </values>
      </ddeItem>
      <ddeItem name="ai[190].vCorrect" advise="1"/>
      <ddeItem name="ai[190].vCut" advise="1"/>
      <ddeItem name="ai[190].vRaw" advise="1"/>
      <ddeItem name="ai[190].ZH" advise="1">
        <values>
          <value>
            <val>0</val>
          </value>
        </values>
      </ddeItem>
      <ddeItem name="ai[190].ZL" advise="1">
        <values>
          <value>
            <val>0</val>
          </value>
        </values>
      </ddeItem>
      <ddeItem name="ai[191].break.sgn" advise="1">
        <values>
          <value>
            <val>0</val>
          </value>
        </values>
      </ddeItem>
      <ddeItem name="ai[191].EN" advise="1">
        <values>
          <value>
            <val>0</val>
          </value>
        </values>
      </ddeItem>
      <ddeItem name="ai[191].group" advise="1">
        <values>
          <value>
            <val>0</val>
          </value>
        </values>
      </ddeItem>
      <ddeItem name="ai[191].H.EN" advise="1">
        <values>
          <value>
            <val>0</val>
          </value>
        </values>
      </ddeItem>
      <ddeItem name="ai[191].H.fix" advise="1">
        <values>
          <value>
            <val>0</val>
          </value>
        </values>
      </ddeItem>
      <ddeItem name="ai[191].H.V" advise="1">
        <values>
          <value>
            <val>0</val>
          </value>
        </values>
      </ddeItem>
      <ddeItem name="ai[191].HH.EN" advise="1">
        <values>
          <value>
            <val>0</val>
          </value>
        </values>
      </ddeItem>
      <ddeItem name="ai[191].HH.fix" advise="1">
        <values>
          <value>
            <val>0</val>
          </value>
        </values>
      </ddeItem>
      <ddeItem name="ai[191].HH.V" advise="1">
        <values>
          <value>
            <val>0</val>
          </value>
        </values>
      </ddeItem>
      <ddeItem name="ai[191].i" advise="1">
        <values>
          <value>
            <val>0</val>
          </value>
        </values>
      </ddeItem>
      <ddeItem name="ai[191].isCorrect" advise="1">
        <values>
          <value>
            <val>0</val>
          </value>
        </values>
      </ddeItem>
      <ddeItem name="ai[191].isCut" advise="1"/>
      <ddeItem name="ai[191].isForce" advise="1">
        <values>
          <value>
            <val>0</val>
          </value>
        </values>
      </ddeItem>
      <ddeItem name="ai[191].isInvScale" advise="1">
        <values>
          <value>
            <val>0</val>
          </value>
        </values>
      </ddeItem>
      <ddeItem name="ai[191].L.EN" advise="1">
        <values>
          <value>
            <val>0</val>
          </value>
        </values>
      </ddeItem>
      <ddeItem name="ai[191].L.fix" advise="1">
        <values>
          <value>
            <val>0</val>
          </value>
        </values>
      </ddeItem>
      <ddeItem name="ai[191].L.V" advise="1">
        <values>
          <value>
            <val>0</val>
          </value>
        </values>
      </ddeItem>
      <ddeItem name="ai[191].LL.EN" advise="1">
        <values>
          <value>
            <val>0</val>
          </value>
        </values>
      </ddeItem>
      <ddeItem name="ai[191].LL.fix" advise="1">
        <values>
          <value>
            <val>0</val>
          </value>
        </values>
      </ddeItem>
      <ddeItem name="ai[191].LL.V" advise="1">
        <values>
          <value>
            <val>0</val>
          </value>
        </values>
      </ddeItem>
      <ddeItem name="ai[191].RH.EN" advise="1">
        <values>
          <value>
            <val>0</val>
          </value>
        </values>
      </ddeItem>
      <ddeItem name="ai[191].RH.fix" advise="1">
        <values>
          <value>
            <val>0</val>
          </value>
        </values>
      </ddeItem>
      <ddeItem name="ai[191].RH.V" advise="1">
        <values>
          <value>
            <val>0</val>
          </value>
        </values>
      </ddeItem>
      <ddeItem name="ai[191].RL.EN" advise="1">
        <values>
          <value>
            <val>0</val>
          </value>
        </values>
      </ddeItem>
      <ddeItem name="ai[191].RL.fix" advise="1">
        <values>
          <value>
            <val>0</val>
          </value>
        </values>
      </ddeItem>
      <ddeItem name="ai[191].RL.V" advise="1">
        <values>
          <value>
            <val>0</val>
          </value>
        </values>
      </ddeItem>
      <ddeItem name="ai[191].state" advise="1">
        <values>
          <value>
            <val>4</val>
          </value>
        </values>
      </ddeItem>
      <ddeItem name="ai[191].v" advise="1">
        <values>
          <value>
            <val>0</val>
          </value>
        </values>
      </ddeItem>
      <ddeItem name="ai[191].vCorrect" advise="1"/>
      <ddeItem name="ai[191].vCut" advise="1"/>
      <ddeItem name="ai[191].vRaw" advise="1"/>
      <ddeItem name="ai[191].ZH" advise="1">
        <values>
          <value>
            <val>0</val>
          </value>
        </values>
      </ddeItem>
      <ddeItem name="ai[191].ZL" advise="1">
        <values>
          <value>
            <val>0</val>
          </value>
        </values>
      </ddeItem>
      <ddeItem name="ai[192].break.sgn" advise="1">
        <values>
          <value>
            <val>0</val>
          </value>
        </values>
      </ddeItem>
      <ddeItem name="ai[192].EN" advise="1">
        <values>
          <value>
            <val>0</val>
          </value>
        </values>
      </ddeItem>
      <ddeItem name="ai[192].group" advise="1">
        <values>
          <value>
            <val>0</val>
          </value>
        </values>
      </ddeItem>
      <ddeItem name="ai[192].H.EN" advise="1">
        <values>
          <value>
            <val>0</val>
          </value>
        </values>
      </ddeItem>
      <ddeItem name="ai[192].H.fix" advise="1">
        <values>
          <value>
            <val>0</val>
          </value>
        </values>
      </ddeItem>
      <ddeItem name="ai[192].H.V" advise="1">
        <values>
          <value>
            <val>0</val>
          </value>
        </values>
      </ddeItem>
      <ddeItem name="ai[192].HH.EN" advise="1">
        <values>
          <value>
            <val>0</val>
          </value>
        </values>
      </ddeItem>
      <ddeItem name="ai[192].HH.fix" advise="1">
        <values>
          <value>
            <val>0</val>
          </value>
        </values>
      </ddeItem>
      <ddeItem name="ai[192].HH.V" advise="1">
        <values>
          <value>
            <val>0</val>
          </value>
        </values>
      </ddeItem>
      <ddeItem name="ai[192].i" advise="1">
        <values>
          <value>
            <val>0</val>
          </value>
        </values>
      </ddeItem>
      <ddeItem name="ai[192].isCorrect" advise="1">
        <values>
          <value>
            <val>0</val>
          </value>
        </values>
      </ddeItem>
      <ddeItem name="ai[192].isCut" advise="1"/>
      <ddeItem name="ai[192].isForce" advise="1">
        <values>
          <value>
            <val>0</val>
          </value>
        </values>
      </ddeItem>
      <ddeItem name="ai[192].isInvScale" advise="1">
        <values>
          <value>
            <val>0</val>
          </value>
        </values>
      </ddeItem>
      <ddeItem name="ai[192].L.EN" advise="1">
        <values>
          <value>
            <val>0</val>
          </value>
        </values>
      </ddeItem>
      <ddeItem name="ai[192].L.fix" advise="1">
        <values>
          <value>
            <val>0</val>
          </value>
        </values>
      </ddeItem>
      <ddeItem name="ai[192].L.V" advise="1">
        <values>
          <value>
            <val>0</val>
          </value>
        </values>
      </ddeItem>
      <ddeItem name="ai[192].LL.EN" advise="1">
        <values>
          <value>
            <val>0</val>
          </value>
        </values>
      </ddeItem>
      <ddeItem name="ai[192].LL.fix" advise="1">
        <values>
          <value>
            <val>0</val>
          </value>
        </values>
      </ddeItem>
      <ddeItem name="ai[192].LL.V" advise="1">
        <values>
          <value>
            <val>0</val>
          </value>
        </values>
      </ddeItem>
      <ddeItem name="ai[192].RH.EN" advise="1">
        <values>
          <value>
            <val>0</val>
          </value>
        </values>
      </ddeItem>
      <ddeItem name="ai[192].RH.fix" advise="1">
        <values>
          <value>
            <val>0</val>
          </value>
        </values>
      </ddeItem>
      <ddeItem name="ai[192].RH.V" advise="1">
        <values>
          <value>
            <val>0</val>
          </value>
        </values>
      </ddeItem>
      <ddeItem name="ai[192].RL.EN" advise="1">
        <values>
          <value>
            <val>0</val>
          </value>
        </values>
      </ddeItem>
      <ddeItem name="ai[192].RL.fix" advise="1">
        <values>
          <value>
            <val>0</val>
          </value>
        </values>
      </ddeItem>
      <ddeItem name="ai[192].RL.V" advise="1">
        <values>
          <value>
            <val>0</val>
          </value>
        </values>
      </ddeItem>
      <ddeItem name="ai[192].state" advise="1">
        <values>
          <value>
            <val>4</val>
          </value>
        </values>
      </ddeItem>
      <ddeItem name="ai[192].v" advise="1">
        <values>
          <value>
            <val>0</val>
          </value>
        </values>
      </ddeItem>
      <ddeItem name="ai[192].vCorrect" advise="1"/>
      <ddeItem name="ai[192].vCut" advise="1"/>
      <ddeItem name="ai[192].vRaw" advise="1"/>
      <ddeItem name="ai[192].ZH" advise="1">
        <values>
          <value>
            <val>0</val>
          </value>
        </values>
      </ddeItem>
      <ddeItem name="ai[192].ZL" advise="1">
        <values>
          <value>
            <val>0</val>
          </value>
        </values>
      </ddeItem>
      <ddeItem name="ai[193].break.sgn" advise="1">
        <values>
          <value>
            <val>0</val>
          </value>
        </values>
      </ddeItem>
      <ddeItem name="ai[193].EN" advise="1">
        <values>
          <value>
            <val>0</val>
          </value>
        </values>
      </ddeItem>
      <ddeItem name="ai[193].group" advise="1">
        <values>
          <value>
            <val>0</val>
          </value>
        </values>
      </ddeItem>
      <ddeItem name="ai[193].H.EN" advise="1">
        <values>
          <value>
            <val>0</val>
          </value>
        </values>
      </ddeItem>
      <ddeItem name="ai[193].H.fix" advise="1">
        <values>
          <value>
            <val>0</val>
          </value>
        </values>
      </ddeItem>
      <ddeItem name="ai[193].H.V" advise="1">
        <values>
          <value>
            <val>0</val>
          </value>
        </values>
      </ddeItem>
      <ddeItem name="ai[193].HH.EN" advise="1">
        <values>
          <value>
            <val>0</val>
          </value>
        </values>
      </ddeItem>
      <ddeItem name="ai[193].HH.fix" advise="1">
        <values>
          <value>
            <val>0</val>
          </value>
        </values>
      </ddeItem>
      <ddeItem name="ai[193].HH.V" advise="1">
        <values>
          <value>
            <val>0</val>
          </value>
        </values>
      </ddeItem>
      <ddeItem name="ai[193].i" advise="1">
        <values>
          <value>
            <val>0</val>
          </value>
        </values>
      </ddeItem>
      <ddeItem name="ai[193].isCorrect" advise="1">
        <values>
          <value>
            <val>0</val>
          </value>
        </values>
      </ddeItem>
      <ddeItem name="ai[193].isCut" advise="1"/>
      <ddeItem name="ai[193].isForce" advise="1">
        <values>
          <value>
            <val>0</val>
          </value>
        </values>
      </ddeItem>
      <ddeItem name="ai[193].isInvScale" advise="1">
        <values>
          <value>
            <val>0</val>
          </value>
        </values>
      </ddeItem>
      <ddeItem name="ai[193].L.EN" advise="1">
        <values>
          <value>
            <val>0</val>
          </value>
        </values>
      </ddeItem>
      <ddeItem name="ai[193].L.fix" advise="1">
        <values>
          <value>
            <val>0</val>
          </value>
        </values>
      </ddeItem>
      <ddeItem name="ai[193].L.V" advise="1">
        <values>
          <value>
            <val>0</val>
          </value>
        </values>
      </ddeItem>
      <ddeItem name="ai[193].LL.EN" advise="1">
        <values>
          <value>
            <val>0</val>
          </value>
        </values>
      </ddeItem>
      <ddeItem name="ai[193].LL.fix" advise="1">
        <values>
          <value>
            <val>0</val>
          </value>
        </values>
      </ddeItem>
      <ddeItem name="ai[193].LL.V" advise="1">
        <values>
          <value>
            <val>0</val>
          </value>
        </values>
      </ddeItem>
      <ddeItem name="ai[193].RH.EN" advise="1">
        <values>
          <value>
            <val>0</val>
          </value>
        </values>
      </ddeItem>
      <ddeItem name="ai[193].RH.fix" advise="1">
        <values>
          <value>
            <val>0</val>
          </value>
        </values>
      </ddeItem>
      <ddeItem name="ai[193].RH.V" advise="1">
        <values>
          <value>
            <val>0</val>
          </value>
        </values>
      </ddeItem>
      <ddeItem name="ai[193].RL.EN" advise="1">
        <values>
          <value>
            <val>0</val>
          </value>
        </values>
      </ddeItem>
      <ddeItem name="ai[193].RL.fix" advise="1">
        <values>
          <value>
            <val>0</val>
          </value>
        </values>
      </ddeItem>
      <ddeItem name="ai[193].RL.V" advise="1">
        <values>
          <value>
            <val>0</val>
          </value>
        </values>
      </ddeItem>
      <ddeItem name="ai[193].state" advise="1">
        <values>
          <value>
            <val>4</val>
          </value>
        </values>
      </ddeItem>
      <ddeItem name="ai[193].v" advise="1">
        <values>
          <value>
            <val>0</val>
          </value>
        </values>
      </ddeItem>
      <ddeItem name="ai[193].vCorrect" advise="1"/>
      <ddeItem name="ai[193].vCut" advise="1"/>
      <ddeItem name="ai[193].vRaw" advise="1"/>
      <ddeItem name="ai[193].ZH" advise="1">
        <values>
          <value>
            <val>0</val>
          </value>
        </values>
      </ddeItem>
      <ddeItem name="ai[193].ZL" advise="1">
        <values>
          <value>
            <val>0</val>
          </value>
        </values>
      </ddeItem>
      <ddeItem name="ai[194].break.sgn" advise="1">
        <values>
          <value>
            <val>0</val>
          </value>
        </values>
      </ddeItem>
      <ddeItem name="ai[194].EN" advise="1">
        <values>
          <value>
            <val>0</val>
          </value>
        </values>
      </ddeItem>
      <ddeItem name="ai[194].group" advise="1">
        <values>
          <value>
            <val>0</val>
          </value>
        </values>
      </ddeItem>
      <ddeItem name="ai[194].H.EN" advise="1">
        <values>
          <value>
            <val>0</val>
          </value>
        </values>
      </ddeItem>
      <ddeItem name="ai[194].H.fix" advise="1">
        <values>
          <value>
            <val>0</val>
          </value>
        </values>
      </ddeItem>
      <ddeItem name="ai[194].H.V" advise="1">
        <values>
          <value>
            <val>0</val>
          </value>
        </values>
      </ddeItem>
      <ddeItem name="ai[194].HH.EN" advise="1">
        <values>
          <value>
            <val>0</val>
          </value>
        </values>
      </ddeItem>
      <ddeItem name="ai[194].HH.fix" advise="1">
        <values>
          <value>
            <val>0</val>
          </value>
        </values>
      </ddeItem>
      <ddeItem name="ai[194].HH.V" advise="1">
        <values>
          <value>
            <val>0</val>
          </value>
        </values>
      </ddeItem>
      <ddeItem name="ai[194].i" advise="1">
        <values>
          <value>
            <val>0</val>
          </value>
        </values>
      </ddeItem>
      <ddeItem name="ai[194].isCorrect" advise="1">
        <values>
          <value>
            <val>0</val>
          </value>
        </values>
      </ddeItem>
      <ddeItem name="ai[194].isCut" advise="1"/>
      <ddeItem name="ai[194].isForce" advise="1">
        <values>
          <value>
            <val>0</val>
          </value>
        </values>
      </ddeItem>
      <ddeItem name="ai[194].isInvScale" advise="1">
        <values>
          <value>
            <val>0</val>
          </value>
        </values>
      </ddeItem>
      <ddeItem name="ai[194].L.EN" advise="1">
        <values>
          <value>
            <val>0</val>
          </value>
        </values>
      </ddeItem>
      <ddeItem name="ai[194].L.fix" advise="1">
        <values>
          <value>
            <val>0</val>
          </value>
        </values>
      </ddeItem>
      <ddeItem name="ai[194].L.V" advise="1">
        <values>
          <value>
            <val>0</val>
          </value>
        </values>
      </ddeItem>
      <ddeItem name="ai[194].LL.EN" advise="1">
        <values>
          <value>
            <val>0</val>
          </value>
        </values>
      </ddeItem>
      <ddeItem name="ai[194].LL.fix" advise="1">
        <values>
          <value>
            <val>0</val>
          </value>
        </values>
      </ddeItem>
      <ddeItem name="ai[194].LL.V" advise="1">
        <values>
          <value>
            <val>0</val>
          </value>
        </values>
      </ddeItem>
      <ddeItem name="ai[194].RH.EN" advise="1">
        <values>
          <value>
            <val>0</val>
          </value>
        </values>
      </ddeItem>
      <ddeItem name="ai[194].RH.fix" advise="1">
        <values>
          <value>
            <val>0</val>
          </value>
        </values>
      </ddeItem>
      <ddeItem name="ai[194].RH.V" advise="1">
        <values>
          <value>
            <val>0</val>
          </value>
        </values>
      </ddeItem>
      <ddeItem name="ai[194].RL.EN" advise="1">
        <values>
          <value>
            <val>0</val>
          </value>
        </values>
      </ddeItem>
      <ddeItem name="ai[194].RL.fix" advise="1">
        <values>
          <value>
            <val>0</val>
          </value>
        </values>
      </ddeItem>
      <ddeItem name="ai[194].RL.V" advise="1">
        <values>
          <value>
            <val>0</val>
          </value>
        </values>
      </ddeItem>
      <ddeItem name="ai[194].state" advise="1">
        <values>
          <value>
            <val>4</val>
          </value>
        </values>
      </ddeItem>
      <ddeItem name="ai[194].v" advise="1">
        <values>
          <value>
            <val>0</val>
          </value>
        </values>
      </ddeItem>
      <ddeItem name="ai[194].vCorrect" advise="1"/>
      <ddeItem name="ai[194].vCut" advise="1"/>
      <ddeItem name="ai[194].vRaw" advise="1"/>
      <ddeItem name="ai[194].ZH" advise="1">
        <values>
          <value>
            <val>0</val>
          </value>
        </values>
      </ddeItem>
      <ddeItem name="ai[194].ZL" advise="1">
        <values>
          <value>
            <val>0</val>
          </value>
        </values>
      </ddeItem>
      <ddeItem name="ai[195].break.sgn" advise="1">
        <values>
          <value>
            <val>0</val>
          </value>
        </values>
      </ddeItem>
      <ddeItem name="ai[195].EN" advise="1">
        <values>
          <value>
            <val>0</val>
          </value>
        </values>
      </ddeItem>
      <ddeItem name="ai[195].group" advise="1">
        <values>
          <value>
            <val>0</val>
          </value>
        </values>
      </ddeItem>
      <ddeItem name="ai[195].H.EN" advise="1">
        <values>
          <value>
            <val>0</val>
          </value>
        </values>
      </ddeItem>
      <ddeItem name="ai[195].H.fix" advise="1">
        <values>
          <value>
            <val>0</val>
          </value>
        </values>
      </ddeItem>
      <ddeItem name="ai[195].H.V" advise="1">
        <values>
          <value>
            <val>0</val>
          </value>
        </values>
      </ddeItem>
      <ddeItem name="ai[195].HH.EN" advise="1">
        <values>
          <value>
            <val>0</val>
          </value>
        </values>
      </ddeItem>
      <ddeItem name="ai[195].HH.fix" advise="1">
        <values>
          <value>
            <val>0</val>
          </value>
        </values>
      </ddeItem>
      <ddeItem name="ai[195].HH.V" advise="1">
        <values>
          <value>
            <val>0</val>
          </value>
        </values>
      </ddeItem>
      <ddeItem name="ai[195].i" advise="1">
        <values>
          <value>
            <val>0</val>
          </value>
        </values>
      </ddeItem>
      <ddeItem name="ai[195].isCorrect" advise="1">
        <values>
          <value>
            <val>0</val>
          </value>
        </values>
      </ddeItem>
      <ddeItem name="ai[195].isCut" advise="1"/>
      <ddeItem name="ai[195].isForce" advise="1">
        <values>
          <value>
            <val>0</val>
          </value>
        </values>
      </ddeItem>
      <ddeItem name="ai[195].isInvScale" advise="1">
        <values>
          <value>
            <val>0</val>
          </value>
        </values>
      </ddeItem>
      <ddeItem name="ai[195].L.EN" advise="1">
        <values>
          <value>
            <val>0</val>
          </value>
        </values>
      </ddeItem>
      <ddeItem name="ai[195].L.fix" advise="1">
        <values>
          <value>
            <val>0</val>
          </value>
        </values>
      </ddeItem>
      <ddeItem name="ai[195].L.V" advise="1">
        <values>
          <value>
            <val>0</val>
          </value>
        </values>
      </ddeItem>
      <ddeItem name="ai[195].LL.EN" advise="1">
        <values>
          <value>
            <val>0</val>
          </value>
        </values>
      </ddeItem>
      <ddeItem name="ai[195].LL.fix" advise="1">
        <values>
          <value>
            <val>0</val>
          </value>
        </values>
      </ddeItem>
      <ddeItem name="ai[195].LL.V" advise="1">
        <values>
          <value>
            <val>0</val>
          </value>
        </values>
      </ddeItem>
      <ddeItem name="ai[195].RH.EN" advise="1">
        <values>
          <value>
            <val>0</val>
          </value>
        </values>
      </ddeItem>
      <ddeItem name="ai[195].RH.fix" advise="1">
        <values>
          <value>
            <val>0</val>
          </value>
        </values>
      </ddeItem>
      <ddeItem name="ai[195].RH.V" advise="1">
        <values>
          <value>
            <val>0</val>
          </value>
        </values>
      </ddeItem>
      <ddeItem name="ai[195].RL.EN" advise="1">
        <values>
          <value>
            <val>0</val>
          </value>
        </values>
      </ddeItem>
      <ddeItem name="ai[195].RL.fix" advise="1">
        <values>
          <value>
            <val>0</val>
          </value>
        </values>
      </ddeItem>
      <ddeItem name="ai[195].RL.V" advise="1">
        <values>
          <value>
            <val>0</val>
          </value>
        </values>
      </ddeItem>
      <ddeItem name="ai[195].state" advise="1">
        <values>
          <value>
            <val>4</val>
          </value>
        </values>
      </ddeItem>
      <ddeItem name="ai[195].v" advise="1">
        <values>
          <value>
            <val>0</val>
          </value>
        </values>
      </ddeItem>
      <ddeItem name="ai[195].vCorrect" advise="1"/>
      <ddeItem name="ai[195].vCut" advise="1"/>
      <ddeItem name="ai[195].vRaw" advise="1"/>
      <ddeItem name="ai[195].ZH" advise="1">
        <values>
          <value>
            <val>0</val>
          </value>
        </values>
      </ddeItem>
      <ddeItem name="ai[195].ZL" advise="1">
        <values>
          <value>
            <val>0</val>
          </value>
        </values>
      </ddeItem>
      <ddeItem name="ai[196].break.sgn" advise="1">
        <values>
          <value>
            <val>0</val>
          </value>
        </values>
      </ddeItem>
      <ddeItem name="ai[196].EN" advise="1">
        <values>
          <value>
            <val>0</val>
          </value>
        </values>
      </ddeItem>
      <ddeItem name="ai[196].group" advise="1">
        <values>
          <value>
            <val>0</val>
          </value>
        </values>
      </ddeItem>
      <ddeItem name="ai[196].H.EN" advise="1">
        <values>
          <value>
            <val>0</val>
          </value>
        </values>
      </ddeItem>
      <ddeItem name="ai[196].H.fix" advise="1">
        <values>
          <value>
            <val>0</val>
          </value>
        </values>
      </ddeItem>
      <ddeItem name="ai[196].H.V" advise="1">
        <values>
          <value>
            <val>0</val>
          </value>
        </values>
      </ddeItem>
      <ddeItem name="ai[196].HH.EN" advise="1">
        <values>
          <value>
            <val>0</val>
          </value>
        </values>
      </ddeItem>
      <ddeItem name="ai[196].HH.fix" advise="1">
        <values>
          <value>
            <val>0</val>
          </value>
        </values>
      </ddeItem>
      <ddeItem name="ai[196].HH.V" advise="1">
        <values>
          <value>
            <val>0</val>
          </value>
        </values>
      </ddeItem>
      <ddeItem name="ai[196].i" advise="1">
        <values>
          <value>
            <val>0</val>
          </value>
        </values>
      </ddeItem>
      <ddeItem name="ai[196].isCorrect" advise="1">
        <values>
          <value>
            <val>0</val>
          </value>
        </values>
      </ddeItem>
      <ddeItem name="ai[196].isCut" advise="1"/>
      <ddeItem name="ai[196].isForce" advise="1">
        <values>
          <value>
            <val>0</val>
          </value>
        </values>
      </ddeItem>
      <ddeItem name="ai[196].isInvScale" advise="1">
        <values>
          <value>
            <val>0</val>
          </value>
        </values>
      </ddeItem>
      <ddeItem name="ai[196].L.EN" advise="1">
        <values>
          <value>
            <val>0</val>
          </value>
        </values>
      </ddeItem>
      <ddeItem name="ai[196].L.fix" advise="1">
        <values>
          <value>
            <val>0</val>
          </value>
        </values>
      </ddeItem>
      <ddeItem name="ai[196].L.V" advise="1">
        <values>
          <value>
            <val>0</val>
          </value>
        </values>
      </ddeItem>
      <ddeItem name="ai[196].LL.EN" advise="1">
        <values>
          <value>
            <val>0</val>
          </value>
        </values>
      </ddeItem>
      <ddeItem name="ai[196].LL.fix" advise="1">
        <values>
          <value>
            <val>0</val>
          </value>
        </values>
      </ddeItem>
      <ddeItem name="ai[196].LL.V" advise="1">
        <values>
          <value>
            <val>0</val>
          </value>
        </values>
      </ddeItem>
      <ddeItem name="ai[196].RH.EN" advise="1">
        <values>
          <value>
            <val>0</val>
          </value>
        </values>
      </ddeItem>
      <ddeItem name="ai[196].RH.fix" advise="1">
        <values>
          <value>
            <val>0</val>
          </value>
        </values>
      </ddeItem>
      <ddeItem name="ai[196].RH.V" advise="1">
        <values>
          <value>
            <val>0</val>
          </value>
        </values>
      </ddeItem>
      <ddeItem name="ai[196].RL.EN" advise="1">
        <values>
          <value>
            <val>0</val>
          </value>
        </values>
      </ddeItem>
      <ddeItem name="ai[196].RL.fix" advise="1">
        <values>
          <value>
            <val>0</val>
          </value>
        </values>
      </ddeItem>
      <ddeItem name="ai[196].RL.V" advise="1">
        <values>
          <value>
            <val>0</val>
          </value>
        </values>
      </ddeItem>
      <ddeItem name="ai[196].state" advise="1">
        <values>
          <value>
            <val>4</val>
          </value>
        </values>
      </ddeItem>
      <ddeItem name="ai[196].v" advise="1">
        <values>
          <value>
            <val>0</val>
          </value>
        </values>
      </ddeItem>
      <ddeItem name="ai[196].vCorrect" advise="1"/>
      <ddeItem name="ai[196].vCut" advise="1"/>
      <ddeItem name="ai[196].vRaw" advise="1"/>
      <ddeItem name="ai[196].ZH" advise="1">
        <values>
          <value>
            <val>0</val>
          </value>
        </values>
      </ddeItem>
      <ddeItem name="ai[196].ZL" advise="1">
        <values>
          <value>
            <val>0</val>
          </value>
        </values>
      </ddeItem>
      <ddeItem name="ai[197].break.sgn" advise="1">
        <values>
          <value>
            <val>0</val>
          </value>
        </values>
      </ddeItem>
      <ddeItem name="ai[197].EN" advise="1">
        <values>
          <value>
            <val>0</val>
          </value>
        </values>
      </ddeItem>
      <ddeItem name="ai[197].group" advise="1">
        <values>
          <value>
            <val>0</val>
          </value>
        </values>
      </ddeItem>
      <ddeItem name="ai[197].H.EN" advise="1">
        <values>
          <value>
            <val>0</val>
          </value>
        </values>
      </ddeItem>
      <ddeItem name="ai[197].H.fix" advise="1">
        <values>
          <value>
            <val>0</val>
          </value>
        </values>
      </ddeItem>
      <ddeItem name="ai[197].H.V" advise="1">
        <values>
          <value>
            <val>0</val>
          </value>
        </values>
      </ddeItem>
      <ddeItem name="ai[197].HH.EN" advise="1">
        <values>
          <value>
            <val>0</val>
          </value>
        </values>
      </ddeItem>
      <ddeItem name="ai[197].HH.fix" advise="1">
        <values>
          <value>
            <val>0</val>
          </value>
        </values>
      </ddeItem>
      <ddeItem name="ai[197].HH.V" advise="1">
        <values>
          <value>
            <val>0</val>
          </value>
        </values>
      </ddeItem>
      <ddeItem name="ai[197].i" advise="1">
        <values>
          <value>
            <val>0</val>
          </value>
        </values>
      </ddeItem>
      <ddeItem name="ai[197].isCorrect" advise="1">
        <values>
          <value>
            <val>0</val>
          </value>
        </values>
      </ddeItem>
      <ddeItem name="ai[197].isCut" advise="1"/>
      <ddeItem name="ai[197].isForce" advise="1">
        <values>
          <value>
            <val>0</val>
          </value>
        </values>
      </ddeItem>
      <ddeItem name="ai[197].isInvScale" advise="1">
        <values>
          <value>
            <val>0</val>
          </value>
        </values>
      </ddeItem>
      <ddeItem name="ai[197].L.EN" advise="1">
        <values>
          <value>
            <val>0</val>
          </value>
        </values>
      </ddeItem>
      <ddeItem name="ai[197].L.fix" advise="1">
        <values>
          <value>
            <val>0</val>
          </value>
        </values>
      </ddeItem>
      <ddeItem name="ai[197].L.V" advise="1">
        <values>
          <value>
            <val>0</val>
          </value>
        </values>
      </ddeItem>
      <ddeItem name="ai[197].LL.EN" advise="1">
        <values>
          <value>
            <val>0</val>
          </value>
        </values>
      </ddeItem>
      <ddeItem name="ai[197].LL.fix" advise="1">
        <values>
          <value>
            <val>0</val>
          </value>
        </values>
      </ddeItem>
      <ddeItem name="ai[197].LL.V" advise="1">
        <values>
          <value>
            <val>0</val>
          </value>
        </values>
      </ddeItem>
      <ddeItem name="ai[197].RH.EN" advise="1">
        <values>
          <value>
            <val>0</val>
          </value>
        </values>
      </ddeItem>
      <ddeItem name="ai[197].RH.fix" advise="1">
        <values>
          <value>
            <val>0</val>
          </value>
        </values>
      </ddeItem>
      <ddeItem name="ai[197].RH.V" advise="1">
        <values>
          <value>
            <val>0</val>
          </value>
        </values>
      </ddeItem>
      <ddeItem name="ai[197].RL.EN" advise="1">
        <values>
          <value>
            <val>0</val>
          </value>
        </values>
      </ddeItem>
      <ddeItem name="ai[197].RL.fix" advise="1">
        <values>
          <value>
            <val>0</val>
          </value>
        </values>
      </ddeItem>
      <ddeItem name="ai[197].RL.V" advise="1">
        <values>
          <value>
            <val>0</val>
          </value>
        </values>
      </ddeItem>
      <ddeItem name="ai[197].state" advise="1">
        <values>
          <value>
            <val>4</val>
          </value>
        </values>
      </ddeItem>
      <ddeItem name="ai[197].v" advise="1">
        <values>
          <value>
            <val>0</val>
          </value>
        </values>
      </ddeItem>
      <ddeItem name="ai[197].vCorrect" advise="1"/>
      <ddeItem name="ai[197].vCut" advise="1"/>
      <ddeItem name="ai[197].vRaw" advise="1"/>
      <ddeItem name="ai[197].ZH" advise="1">
        <values>
          <value>
            <val>0</val>
          </value>
        </values>
      </ddeItem>
      <ddeItem name="ai[197].ZL" advise="1">
        <values>
          <value>
            <val>0</val>
          </value>
        </values>
      </ddeItem>
      <ddeItem name="ai[198].break.sgn" advise="1">
        <values>
          <value>
            <val>0</val>
          </value>
        </values>
      </ddeItem>
      <ddeItem name="ai[198].EN" advise="1">
        <values>
          <value>
            <val>0</val>
          </value>
        </values>
      </ddeItem>
      <ddeItem name="ai[198].group" advise="1">
        <values>
          <value>
            <val>0</val>
          </value>
        </values>
      </ddeItem>
      <ddeItem name="ai[198].H.EN" advise="1">
        <values>
          <value>
            <val>0</val>
          </value>
        </values>
      </ddeItem>
      <ddeItem name="ai[198].H.fix" advise="1">
        <values>
          <value>
            <val>0</val>
          </value>
        </values>
      </ddeItem>
      <ddeItem name="ai[198].H.V" advise="1">
        <values>
          <value>
            <val>0</val>
          </value>
        </values>
      </ddeItem>
      <ddeItem name="ai[198].HH.EN" advise="1">
        <values>
          <value>
            <val>0</val>
          </value>
        </values>
      </ddeItem>
      <ddeItem name="ai[198].HH.fix" advise="1">
        <values>
          <value>
            <val>0</val>
          </value>
        </values>
      </ddeItem>
      <ddeItem name="ai[198].HH.V" advise="1">
        <values>
          <value>
            <val>0</val>
          </value>
        </values>
      </ddeItem>
      <ddeItem name="ai[198].i" advise="1">
        <values>
          <value>
            <val>0</val>
          </value>
        </values>
      </ddeItem>
      <ddeItem name="ai[198].isCorrect" advise="1">
        <values>
          <value>
            <val>0</val>
          </value>
        </values>
      </ddeItem>
      <ddeItem name="ai[198].isCut" advise="1"/>
      <ddeItem name="ai[198].isForce" advise="1">
        <values>
          <value>
            <val>0</val>
          </value>
        </values>
      </ddeItem>
      <ddeItem name="ai[198].isInvScale" advise="1">
        <values>
          <value>
            <val>0</val>
          </value>
        </values>
      </ddeItem>
      <ddeItem name="ai[198].L.EN" advise="1">
        <values>
          <value>
            <val>0</val>
          </value>
        </values>
      </ddeItem>
      <ddeItem name="ai[198].L.fix" advise="1">
        <values>
          <value>
            <val>0</val>
          </value>
        </values>
      </ddeItem>
      <ddeItem name="ai[198].L.V" advise="1">
        <values>
          <value>
            <val>0</val>
          </value>
        </values>
      </ddeItem>
      <ddeItem name="ai[198].LL.EN" advise="1">
        <values>
          <value>
            <val>0</val>
          </value>
        </values>
      </ddeItem>
      <ddeItem name="ai[198].LL.fix" advise="1">
        <values>
          <value>
            <val>0</val>
          </value>
        </values>
      </ddeItem>
      <ddeItem name="ai[198].LL.V" advise="1">
        <values>
          <value>
            <val>0</val>
          </value>
        </values>
      </ddeItem>
      <ddeItem name="ai[198].RH.EN" advise="1">
        <values>
          <value>
            <val>0</val>
          </value>
        </values>
      </ddeItem>
      <ddeItem name="ai[198].RH.fix" advise="1">
        <values>
          <value>
            <val>0</val>
          </value>
        </values>
      </ddeItem>
      <ddeItem name="ai[198].RH.V" advise="1">
        <values>
          <value>
            <val>0</val>
          </value>
        </values>
      </ddeItem>
      <ddeItem name="ai[198].RL.EN" advise="1">
        <values>
          <value>
            <val>0</val>
          </value>
        </values>
      </ddeItem>
      <ddeItem name="ai[198].RL.fix" advise="1">
        <values>
          <value>
            <val>0</val>
          </value>
        </values>
      </ddeItem>
      <ddeItem name="ai[198].RL.V" advise="1">
        <values>
          <value>
            <val>0</val>
          </value>
        </values>
      </ddeItem>
      <ddeItem name="ai[198].state" advise="1">
        <values>
          <value>
            <val>4</val>
          </value>
        </values>
      </ddeItem>
      <ddeItem name="ai[198].v" advise="1">
        <values>
          <value>
            <val>0</val>
          </value>
        </values>
      </ddeItem>
      <ddeItem name="ai[198].vCorrect" advise="1"/>
      <ddeItem name="ai[198].vCut" advise="1"/>
      <ddeItem name="ai[198].vRaw" advise="1"/>
      <ddeItem name="ai[198].ZH" advise="1">
        <values>
          <value>
            <val>0</val>
          </value>
        </values>
      </ddeItem>
      <ddeItem name="ai[198].ZL" advise="1">
        <values>
          <value>
            <val>0</val>
          </value>
        </values>
      </ddeItem>
      <ddeItem name="ai[199].break.sgn" advise="1">
        <values>
          <value>
            <val>0</val>
          </value>
        </values>
      </ddeItem>
      <ddeItem name="ai[199].EN" advise="1">
        <values>
          <value>
            <val>0</val>
          </value>
        </values>
      </ddeItem>
      <ddeItem name="ai[199].group" advise="1">
        <values>
          <value>
            <val>0</val>
          </value>
        </values>
      </ddeItem>
      <ddeItem name="ai[199].H.EN" advise="1">
        <values>
          <value>
            <val>0</val>
          </value>
        </values>
      </ddeItem>
      <ddeItem name="ai[199].H.fix" advise="1">
        <values>
          <value>
            <val>0</val>
          </value>
        </values>
      </ddeItem>
      <ddeItem name="ai[199].H.V" advise="1">
        <values>
          <value>
            <val>0</val>
          </value>
        </values>
      </ddeItem>
      <ddeItem name="ai[199].HH.EN" advise="1">
        <values>
          <value>
            <val>0</val>
          </value>
        </values>
      </ddeItem>
      <ddeItem name="ai[199].HH.fix" advise="1">
        <values>
          <value>
            <val>0</val>
          </value>
        </values>
      </ddeItem>
      <ddeItem name="ai[199].HH.V" advise="1">
        <values>
          <value>
            <val>0</val>
          </value>
        </values>
      </ddeItem>
      <ddeItem name="ai[199].i" advise="1">
        <values>
          <value>
            <val>0</val>
          </value>
        </values>
      </ddeItem>
      <ddeItem name="ai[199].isCorrect" advise="1">
        <values>
          <value>
            <val>0</val>
          </value>
        </values>
      </ddeItem>
      <ddeItem name="ai[199].isCut" advise="1"/>
      <ddeItem name="ai[199].isForce" advise="1">
        <values>
          <value>
            <val>0</val>
          </value>
        </values>
      </ddeItem>
      <ddeItem name="ai[199].isInvScale" advise="1">
        <values>
          <value>
            <val>0</val>
          </value>
        </values>
      </ddeItem>
      <ddeItem name="ai[199].L.EN" advise="1">
        <values>
          <value>
            <val>0</val>
          </value>
        </values>
      </ddeItem>
      <ddeItem name="ai[199].L.fix" advise="1">
        <values>
          <value>
            <val>0</val>
          </value>
        </values>
      </ddeItem>
      <ddeItem name="ai[199].L.V" advise="1">
        <values>
          <value>
            <val>0</val>
          </value>
        </values>
      </ddeItem>
      <ddeItem name="ai[199].LL.EN" advise="1">
        <values>
          <value>
            <val>0</val>
          </value>
        </values>
      </ddeItem>
      <ddeItem name="ai[199].LL.fix" advise="1">
        <values>
          <value>
            <val>0</val>
          </value>
        </values>
      </ddeItem>
      <ddeItem name="ai[199].LL.V" advise="1">
        <values>
          <value>
            <val>0</val>
          </value>
        </values>
      </ddeItem>
      <ddeItem name="ai[199].RH.EN" advise="1">
        <values>
          <value>
            <val>0</val>
          </value>
        </values>
      </ddeItem>
      <ddeItem name="ai[199].RH.fix" advise="1">
        <values>
          <value>
            <val>0</val>
          </value>
        </values>
      </ddeItem>
      <ddeItem name="ai[199].RH.V" advise="1">
        <values>
          <value>
            <val>0</val>
          </value>
        </values>
      </ddeItem>
      <ddeItem name="ai[199].RL.EN" advise="1">
        <values>
          <value>
            <val>0</val>
          </value>
        </values>
      </ddeItem>
      <ddeItem name="ai[199].RL.fix" advise="1">
        <values>
          <value>
            <val>0</val>
          </value>
        </values>
      </ddeItem>
      <ddeItem name="ai[199].RL.V" advise="1">
        <values>
          <value>
            <val>0</val>
          </value>
        </values>
      </ddeItem>
      <ddeItem name="ai[199].state" advise="1">
        <values>
          <value>
            <val>4</val>
          </value>
        </values>
      </ddeItem>
      <ddeItem name="ai[199].v" advise="1">
        <values>
          <value>
            <val>0</val>
          </value>
        </values>
      </ddeItem>
      <ddeItem name="ai[199].vCorrect" advise="1"/>
      <ddeItem name="ai[199].vCut" advise="1"/>
      <ddeItem name="ai[199].vRaw" advise="1"/>
      <ddeItem name="ai[199].ZH" advise="1">
        <values>
          <value>
            <val>0</val>
          </value>
        </values>
      </ddeItem>
      <ddeItem name="ai[199].ZL" advise="1">
        <values>
          <value>
            <val>0</val>
          </value>
        </values>
      </ddeItem>
      <ddeItem name="AI[2].break.sgn" advise="1">
        <values>
          <value>
            <val>1</val>
          </value>
        </values>
      </ddeItem>
      <ddeItem name="AI[2].EN" advise="1">
        <values>
          <value>
            <val>1</val>
          </value>
        </values>
      </ddeItem>
      <ddeItem name="AI[2].group" advise="1">
        <values>
          <value>
            <val>1</val>
          </value>
        </values>
      </ddeItem>
      <ddeItem name="AI[2].H.EN" advise="1">
        <values>
          <value>
            <val>0</val>
          </value>
        </values>
      </ddeItem>
      <ddeItem name="AI[2].H.fix" advise="1">
        <values>
          <value>
            <val>0</val>
          </value>
        </values>
      </ddeItem>
      <ddeItem name="AI[2].H.V" advise="1">
        <values>
          <value>
            <val>0</val>
          </value>
        </values>
      </ddeItem>
      <ddeItem name="AI[2].HH.EN" advise="1">
        <values>
          <value>
            <val>0</val>
          </value>
        </values>
      </ddeItem>
      <ddeItem name="AI[2].HH.fix" advise="1">
        <values>
          <value>
            <val>0</val>
          </value>
        </values>
      </ddeItem>
      <ddeItem name="AI[2].HH.V" advise="1">
        <values>
          <value>
            <val>0</val>
          </value>
        </values>
      </ddeItem>
      <ddeItem name="AI[2].i" advise="1">
        <values>
          <value>
            <val>5.9671400000000001E-3</val>
          </value>
        </values>
      </ddeItem>
      <ddeItem name="AI[2].isCorrect" advise="1">
        <values>
          <value>
            <val>0</val>
          </value>
        </values>
      </ddeItem>
      <ddeItem name="AI[2].isCut" advise="1"/>
      <ddeItem name="AI[2].isForce" advise="1">
        <values>
          <value>
            <val>0</val>
          </value>
        </values>
      </ddeItem>
      <ddeItem name="AI[2].isInvScale" advise="1">
        <values>
          <value>
            <val>0</val>
          </value>
        </values>
      </ddeItem>
      <ddeItem name="AI[2].L.EN" advise="1">
        <values>
          <value>
            <val>0</val>
          </value>
        </values>
      </ddeItem>
      <ddeItem name="AI[2].L.fix" advise="1">
        <values>
          <value>
            <val>0</val>
          </value>
        </values>
      </ddeItem>
      <ddeItem name="AI[2].L.V" advise="1">
        <values>
          <value>
            <val>0</val>
          </value>
        </values>
      </ddeItem>
      <ddeItem name="AI[2].LL.EN" advise="1">
        <values>
          <value>
            <val>0</val>
          </value>
        </values>
      </ddeItem>
      <ddeItem name="AI[2].LL.fix" advise="1">
        <values>
          <value>
            <val>0</val>
          </value>
        </values>
      </ddeItem>
      <ddeItem name="AI[2].LL.V" advise="1">
        <values>
          <value>
            <val>0</val>
          </value>
        </values>
      </ddeItem>
      <ddeItem name="AI[2].RH.EN" advise="1">
        <values>
          <value>
            <val>1</val>
          </value>
        </values>
      </ddeItem>
      <ddeItem name="AI[2].RH.fix" advise="1">
        <values>
          <value>
            <val>0</val>
          </value>
        </values>
      </ddeItem>
      <ddeItem name="AI[2].RH.V" advise="1">
        <values>
          <value>
            <val>100</val>
          </value>
        </values>
      </ddeItem>
      <ddeItem name="AI[2].RL.EN" advise="1">
        <values>
          <value>
            <val>1</val>
          </value>
        </values>
      </ddeItem>
      <ddeItem name="AI[2].RL.fix" advise="1">
        <values>
          <value>
            <val>0</val>
          </value>
        </values>
      </ddeItem>
      <ddeItem name="AI[2].RL.V" advise="1">
        <values>
          <value>
            <val>30</val>
          </value>
        </values>
      </ddeItem>
      <ddeItem name="AI[2].state" advise="1">
        <values>
          <value>
            <val>4</val>
          </value>
        </values>
      </ddeItem>
      <ddeItem name="AI[2].v" advise="1">
        <values>
          <value>
            <val>0</val>
          </value>
        </values>
      </ddeItem>
      <ddeItem name="AI[2].vCorrect" advise="1"/>
      <ddeItem name="AI[2].vCut" advise="1"/>
      <ddeItem name="AI[2].vRaw" advise="1"/>
      <ddeItem name="AI[2].ZH" advise="1">
        <values>
          <value>
            <val>400</val>
          </value>
        </values>
      </ddeItem>
      <ddeItem name="AI[2].ZL" advise="1">
        <values>
          <value>
            <val>0</val>
          </value>
        </values>
      </ddeItem>
      <ddeItem name="AI[20].break.sgn" advise="1">
        <values>
          <value>
            <val>1</val>
          </value>
        </values>
      </ddeItem>
      <ddeItem name="AI[20].EN" advise="1">
        <values>
          <value>
            <val>1</val>
          </value>
        </values>
      </ddeItem>
      <ddeItem name="AI[20].group" advise="1">
        <values>
          <value>
            <val>1</val>
          </value>
        </values>
      </ddeItem>
      <ddeItem name="AI[20].H.EN" advise="1">
        <values>
          <value>
            <val>0</val>
          </value>
        </values>
      </ddeItem>
      <ddeItem name="AI[20].H.fix" advise="1">
        <values>
          <value>
            <val>0</val>
          </value>
        </values>
      </ddeItem>
      <ddeItem name="AI[20].H.V" advise="1">
        <values>
          <value>
            <val>0</val>
          </value>
        </values>
      </ddeItem>
      <ddeItem name="AI[20].HH.EN" advise="1">
        <values>
          <value>
            <val>0</val>
          </value>
        </values>
      </ddeItem>
      <ddeItem name="AI[20].HH.fix" advise="1">
        <values>
          <value>
            <val>0</val>
          </value>
        </values>
      </ddeItem>
      <ddeItem name="AI[20].HH.V" advise="1">
        <values>
          <value>
            <val>0</val>
          </value>
        </values>
      </ddeItem>
      <ddeItem name="AI[20].i" advise="1">
        <values>
          <value>
            <val>2.5129319999999998E-3</val>
          </value>
        </values>
      </ddeItem>
      <ddeItem name="AI[20].isCorrect" advise="1">
        <values>
          <value>
            <val>0</val>
          </value>
        </values>
      </ddeItem>
      <ddeItem name="AI[20].isCut" advise="1"/>
      <ddeItem name="AI[20].isForce" advise="1">
        <values>
          <value>
            <val>0</val>
          </value>
        </values>
      </ddeItem>
      <ddeItem name="AI[20].isInvScale" advise="1">
        <values>
          <value>
            <val>0</val>
          </value>
        </values>
      </ddeItem>
      <ddeItem name="AI[20].L.EN" advise="1">
        <values>
          <value>
            <val>0</val>
          </value>
        </values>
      </ddeItem>
      <ddeItem name="AI[20].L.fix" advise="1">
        <values>
          <value>
            <val>0</val>
          </value>
        </values>
      </ddeItem>
      <ddeItem name="AI[20].L.V" advise="1">
        <values>
          <value>
            <val>0</val>
          </value>
        </values>
      </ddeItem>
      <ddeItem name="AI[20].LL.EN" advise="1">
        <values>
          <value>
            <val>0</val>
          </value>
        </values>
      </ddeItem>
      <ddeItem name="AI[20].LL.fix" advise="1">
        <values>
          <value>
            <val>0</val>
          </value>
        </values>
      </ddeItem>
      <ddeItem name="AI[20].LL.V" advise="1">
        <values>
          <value>
            <val>0</val>
          </value>
        </values>
      </ddeItem>
      <ddeItem name="AI[20].RH.EN" advise="1">
        <values>
          <value>
            <val>1</val>
          </value>
        </values>
      </ddeItem>
      <ddeItem name="AI[20].RH.fix" advise="1">
        <values>
          <value>
            <val>0</val>
          </value>
        </values>
      </ddeItem>
      <ddeItem name="AI[20].RH.V" advise="1">
        <values>
          <value>
            <val>80</val>
          </value>
        </values>
      </ddeItem>
      <ddeItem name="AI[20].RL.EN" advise="1">
        <values>
          <value>
            <val>1</val>
          </value>
        </values>
      </ddeItem>
      <ddeItem name="AI[20].RL.fix" advise="1">
        <values>
          <value>
            <val>0</val>
          </value>
        </values>
      </ddeItem>
      <ddeItem name="AI[20].RL.V" advise="1">
        <values>
          <value>
            <val>20</val>
          </value>
        </values>
      </ddeItem>
      <ddeItem name="AI[20].state" advise="1">
        <values>
          <value>
            <val>4</val>
          </value>
        </values>
      </ddeItem>
      <ddeItem name="AI[20].v" advise="1">
        <values>
          <value>
            <val>0</val>
          </value>
        </values>
      </ddeItem>
      <ddeItem name="AI[20].vCorrect" advise="1"/>
      <ddeItem name="AI[20].vCut" advise="1"/>
      <ddeItem name="AI[20].vRaw" advise="1"/>
      <ddeItem name="AI[20].ZH" advise="1">
        <values>
          <value>
            <val>100</val>
          </value>
        </values>
      </ddeItem>
      <ddeItem name="AI[20].ZL" advise="1">
        <values>
          <value>
            <val>0</val>
          </value>
        </values>
      </ddeItem>
      <ddeItem name="ai[200].break.sgn" advise="1">
        <values>
          <value>
            <val>0</val>
          </value>
        </values>
      </ddeItem>
      <ddeItem name="ai[200].EN" advise="1">
        <values>
          <value>
            <val>0</val>
          </value>
        </values>
      </ddeItem>
      <ddeItem name="ai[200].group" advise="1">
        <values>
          <value>
            <val>0</val>
          </value>
        </values>
      </ddeItem>
      <ddeItem name="ai[200].H.EN" advise="1">
        <values>
          <value>
            <val>0</val>
          </value>
        </values>
      </ddeItem>
      <ddeItem name="ai[200].H.fix" advise="1">
        <values>
          <value>
            <val>0</val>
          </value>
        </values>
      </ddeItem>
      <ddeItem name="ai[200].H.V" advise="1">
        <values>
          <value>
            <val>0</val>
          </value>
        </values>
      </ddeItem>
      <ddeItem name="ai[200].HH.EN" advise="1">
        <values>
          <value>
            <val>0</val>
          </value>
        </values>
      </ddeItem>
      <ddeItem name="ai[200].HH.fix" advise="1">
        <values>
          <value>
            <val>0</val>
          </value>
        </values>
      </ddeItem>
      <ddeItem name="ai[200].HH.V" advise="1">
        <values>
          <value>
            <val>0</val>
          </value>
        </values>
      </ddeItem>
      <ddeItem name="ai[200].i" advise="1">
        <values>
          <value>
            <val>0</val>
          </value>
        </values>
      </ddeItem>
      <ddeItem name="ai[200].isCorrect" advise="1">
        <values>
          <value>
            <val>0</val>
          </value>
        </values>
      </ddeItem>
      <ddeItem name="ai[200].isCut" advise="1"/>
      <ddeItem name="ai[200].isForce" advise="1">
        <values>
          <value>
            <val>0</val>
          </value>
        </values>
      </ddeItem>
      <ddeItem name="ai[200].isInvScale" advise="1">
        <values>
          <value>
            <val>0</val>
          </value>
        </values>
      </ddeItem>
      <ddeItem name="ai[200].L.EN" advise="1">
        <values>
          <value>
            <val>0</val>
          </value>
        </values>
      </ddeItem>
      <ddeItem name="ai[200].L.fix" advise="1">
        <values>
          <value>
            <val>0</val>
          </value>
        </values>
      </ddeItem>
      <ddeItem name="ai[200].L.V" advise="1">
        <values>
          <value>
            <val>0</val>
          </value>
        </values>
      </ddeItem>
      <ddeItem name="ai[200].LL.EN" advise="1">
        <values>
          <value>
            <val>0</val>
          </value>
        </values>
      </ddeItem>
      <ddeItem name="ai[200].LL.fix" advise="1">
        <values>
          <value>
            <val>0</val>
          </value>
        </values>
      </ddeItem>
      <ddeItem name="ai[200].LL.V" advise="1">
        <values>
          <value>
            <val>0</val>
          </value>
        </values>
      </ddeItem>
      <ddeItem name="ai[200].RH.EN" advise="1">
        <values>
          <value>
            <val>0</val>
          </value>
        </values>
      </ddeItem>
      <ddeItem name="ai[200].RH.fix" advise="1">
        <values>
          <value>
            <val>0</val>
          </value>
        </values>
      </ddeItem>
      <ddeItem name="ai[200].RH.V" advise="1">
        <values>
          <value>
            <val>0</val>
          </value>
        </values>
      </ddeItem>
      <ddeItem name="ai[200].RL.EN" advise="1">
        <values>
          <value>
            <val>0</val>
          </value>
        </values>
      </ddeItem>
      <ddeItem name="ai[200].RL.fix" advise="1">
        <values>
          <value>
            <val>0</val>
          </value>
        </values>
      </ddeItem>
      <ddeItem name="ai[200].RL.V" advise="1">
        <values>
          <value>
            <val>0</val>
          </value>
        </values>
      </ddeItem>
      <ddeItem name="ai[200].state" advise="1">
        <values>
          <value>
            <val>4</val>
          </value>
        </values>
      </ddeItem>
      <ddeItem name="ai[200].v" advise="1">
        <values>
          <value>
            <val>0</val>
          </value>
        </values>
      </ddeItem>
      <ddeItem name="ai[200].vCorrect" advise="1"/>
      <ddeItem name="ai[200].vCut" advise="1"/>
      <ddeItem name="ai[200].vRaw" advise="1"/>
      <ddeItem name="ai[200].ZH" advise="1">
        <values>
          <value>
            <val>0</val>
          </value>
        </values>
      </ddeItem>
      <ddeItem name="ai[200].ZL" advise="1">
        <values>
          <value>
            <val>0</val>
          </value>
        </values>
      </ddeItem>
      <ddeItem name="ai[201].break.sgn" advise="1">
        <values>
          <value>
            <val>0</val>
          </value>
        </values>
      </ddeItem>
      <ddeItem name="ai[201].EN" advise="1">
        <values>
          <value>
            <val>0</val>
          </value>
        </values>
      </ddeItem>
      <ddeItem name="ai[201].group" advise="1">
        <values>
          <value>
            <val>0</val>
          </value>
        </values>
      </ddeItem>
      <ddeItem name="ai[201].H.EN" advise="1">
        <values>
          <value>
            <val>0</val>
          </value>
        </values>
      </ddeItem>
      <ddeItem name="ai[201].H.fix" advise="1">
        <values>
          <value>
            <val>0</val>
          </value>
        </values>
      </ddeItem>
      <ddeItem name="ai[201].H.V" advise="1">
        <values>
          <value>
            <val>0</val>
          </value>
        </values>
      </ddeItem>
      <ddeItem name="ai[201].HH.EN" advise="1">
        <values>
          <value>
            <val>0</val>
          </value>
        </values>
      </ddeItem>
      <ddeItem name="ai[201].HH.fix" advise="1">
        <values>
          <value>
            <val>0</val>
          </value>
        </values>
      </ddeItem>
      <ddeItem name="ai[201].HH.V" advise="1">
        <values>
          <value>
            <val>0</val>
          </value>
        </values>
      </ddeItem>
      <ddeItem name="ai[201].i" advise="1">
        <values>
          <value>
            <val>0</val>
          </value>
        </values>
      </ddeItem>
      <ddeItem name="ai[201].isCorrect" advise="1">
        <values>
          <value>
            <val>0</val>
          </value>
        </values>
      </ddeItem>
      <ddeItem name="ai[201].isCut" advise="1"/>
      <ddeItem name="ai[201].isForce" advise="1">
        <values>
          <value>
            <val>0</val>
          </value>
        </values>
      </ddeItem>
      <ddeItem name="ai[201].isInvScale" advise="1">
        <values>
          <value>
            <val>0</val>
          </value>
        </values>
      </ddeItem>
      <ddeItem name="ai[201].L.EN" advise="1">
        <values>
          <value>
            <val>0</val>
          </value>
        </values>
      </ddeItem>
      <ddeItem name="ai[201].L.fix" advise="1">
        <values>
          <value>
            <val>0</val>
          </value>
        </values>
      </ddeItem>
      <ddeItem name="ai[201].L.V" advise="1">
        <values>
          <value>
            <val>0</val>
          </value>
        </values>
      </ddeItem>
      <ddeItem name="ai[201].LL.EN" advise="1">
        <values>
          <value>
            <val>0</val>
          </value>
        </values>
      </ddeItem>
      <ddeItem name="ai[201].LL.fix" advise="1">
        <values>
          <value>
            <val>0</val>
          </value>
        </values>
      </ddeItem>
      <ddeItem name="ai[201].LL.V" advise="1">
        <values>
          <value>
            <val>0</val>
          </value>
        </values>
      </ddeItem>
      <ddeItem name="ai[201].RH.EN" advise="1">
        <values>
          <value>
            <val>0</val>
          </value>
        </values>
      </ddeItem>
      <ddeItem name="ai[201].RH.fix" advise="1">
        <values>
          <value>
            <val>0</val>
          </value>
        </values>
      </ddeItem>
      <ddeItem name="ai[201].RH.V" advise="1">
        <values>
          <value>
            <val>0</val>
          </value>
        </values>
      </ddeItem>
      <ddeItem name="ai[201].RL.EN" advise="1">
        <values>
          <value>
            <val>0</val>
          </value>
        </values>
      </ddeItem>
      <ddeItem name="ai[201].RL.fix" advise="1">
        <values>
          <value>
            <val>0</val>
          </value>
        </values>
      </ddeItem>
      <ddeItem name="ai[201].RL.V" advise="1">
        <values>
          <value>
            <val>0</val>
          </value>
        </values>
      </ddeItem>
      <ddeItem name="ai[201].state" advise="1">
        <values>
          <value>
            <val>4</val>
          </value>
        </values>
      </ddeItem>
      <ddeItem name="ai[201].v" advise="1">
        <values>
          <value>
            <val>0</val>
          </value>
        </values>
      </ddeItem>
      <ddeItem name="ai[201].vCorrect" advise="1"/>
      <ddeItem name="ai[201].vCut" advise="1"/>
      <ddeItem name="ai[201].vRaw" advise="1"/>
      <ddeItem name="ai[201].ZH" advise="1">
        <values>
          <value>
            <val>0</val>
          </value>
        </values>
      </ddeItem>
      <ddeItem name="ai[201].ZL" advise="1">
        <values>
          <value>
            <val>0</val>
          </value>
        </values>
      </ddeItem>
      <ddeItem name="ai[202].break.sgn" advise="1">
        <values>
          <value>
            <val>0</val>
          </value>
        </values>
      </ddeItem>
      <ddeItem name="ai[202].EN" advise="1">
        <values>
          <value>
            <val>0</val>
          </value>
        </values>
      </ddeItem>
      <ddeItem name="ai[202].group" advise="1">
        <values>
          <value>
            <val>0</val>
          </value>
        </values>
      </ddeItem>
      <ddeItem name="ai[202].H.EN" advise="1">
        <values>
          <value>
            <val>0</val>
          </value>
        </values>
      </ddeItem>
      <ddeItem name="ai[202].H.fix" advise="1">
        <values>
          <value>
            <val>0</val>
          </value>
        </values>
      </ddeItem>
      <ddeItem name="ai[202].H.V" advise="1">
        <values>
          <value>
            <val>0</val>
          </value>
        </values>
      </ddeItem>
      <ddeItem name="ai[202].HH.EN" advise="1">
        <values>
          <value>
            <val>0</val>
          </value>
        </values>
      </ddeItem>
      <ddeItem name="ai[202].HH.fix" advise="1">
        <values>
          <value>
            <val>0</val>
          </value>
        </values>
      </ddeItem>
      <ddeItem name="ai[202].HH.V" advise="1">
        <values>
          <value>
            <val>0</val>
          </value>
        </values>
      </ddeItem>
      <ddeItem name="ai[202].i" advise="1">
        <values>
          <value>
            <val>0</val>
          </value>
        </values>
      </ddeItem>
      <ddeItem name="ai[202].isCorrect" advise="1">
        <values>
          <value>
            <val>0</val>
          </value>
        </values>
      </ddeItem>
      <ddeItem name="ai[202].isCut" advise="1"/>
      <ddeItem name="ai[202].isForce" advise="1">
        <values>
          <value>
            <val>0</val>
          </value>
        </values>
      </ddeItem>
      <ddeItem name="ai[202].isInvScale" advise="1">
        <values>
          <value>
            <val>0</val>
          </value>
        </values>
      </ddeItem>
      <ddeItem name="ai[202].L.EN" advise="1">
        <values>
          <value>
            <val>0</val>
          </value>
        </values>
      </ddeItem>
      <ddeItem name="ai[202].L.fix" advise="1">
        <values>
          <value>
            <val>0</val>
          </value>
        </values>
      </ddeItem>
      <ddeItem name="ai[202].L.V" advise="1">
        <values>
          <value>
            <val>0</val>
          </value>
        </values>
      </ddeItem>
      <ddeItem name="ai[202].LL.EN" advise="1">
        <values>
          <value>
            <val>0</val>
          </value>
        </values>
      </ddeItem>
      <ddeItem name="ai[202].LL.fix" advise="1">
        <values>
          <value>
            <val>0</val>
          </value>
        </values>
      </ddeItem>
      <ddeItem name="ai[202].LL.V" advise="1">
        <values>
          <value>
            <val>0</val>
          </value>
        </values>
      </ddeItem>
      <ddeItem name="ai[202].RH.EN" advise="1">
        <values>
          <value>
            <val>0</val>
          </value>
        </values>
      </ddeItem>
      <ddeItem name="ai[202].RH.fix" advise="1">
        <values>
          <value>
            <val>0</val>
          </value>
        </values>
      </ddeItem>
      <ddeItem name="ai[202].RH.V" advise="1">
        <values>
          <value>
            <val>0</val>
          </value>
        </values>
      </ddeItem>
      <ddeItem name="ai[202].RL.EN" advise="1">
        <values>
          <value>
            <val>0</val>
          </value>
        </values>
      </ddeItem>
      <ddeItem name="ai[202].RL.fix" advise="1">
        <values>
          <value>
            <val>0</val>
          </value>
        </values>
      </ddeItem>
      <ddeItem name="ai[202].RL.V" advise="1">
        <values>
          <value>
            <val>0</val>
          </value>
        </values>
      </ddeItem>
      <ddeItem name="ai[202].state" advise="1">
        <values>
          <value>
            <val>4</val>
          </value>
        </values>
      </ddeItem>
      <ddeItem name="ai[202].v" advise="1">
        <values>
          <value>
            <val>0</val>
          </value>
        </values>
      </ddeItem>
      <ddeItem name="ai[202].vCorrect" advise="1"/>
      <ddeItem name="ai[202].vCut" advise="1"/>
      <ddeItem name="ai[202].vRaw" advise="1"/>
      <ddeItem name="ai[202].ZH" advise="1">
        <values>
          <value>
            <val>0</val>
          </value>
        </values>
      </ddeItem>
      <ddeItem name="ai[202].ZL" advise="1">
        <values>
          <value>
            <val>0</val>
          </value>
        </values>
      </ddeItem>
      <ddeItem name="ai[203].break.sgn" advise="1">
        <values>
          <value>
            <val>0</val>
          </value>
        </values>
      </ddeItem>
      <ddeItem name="ai[203].EN" advise="1">
        <values>
          <value>
            <val>0</val>
          </value>
        </values>
      </ddeItem>
      <ddeItem name="ai[203].group" advise="1">
        <values>
          <value>
            <val>0</val>
          </value>
        </values>
      </ddeItem>
      <ddeItem name="ai[203].H.EN" advise="1">
        <values>
          <value>
            <val>0</val>
          </value>
        </values>
      </ddeItem>
      <ddeItem name="ai[203].H.fix" advise="1">
        <values>
          <value>
            <val>0</val>
          </value>
        </values>
      </ddeItem>
      <ddeItem name="ai[203].H.V" advise="1">
        <values>
          <value>
            <val>0</val>
          </value>
        </values>
      </ddeItem>
      <ddeItem name="ai[203].HH.EN" advise="1">
        <values>
          <value>
            <val>0</val>
          </value>
        </values>
      </ddeItem>
      <ddeItem name="ai[203].HH.fix" advise="1">
        <values>
          <value>
            <val>0</val>
          </value>
        </values>
      </ddeItem>
      <ddeItem name="ai[203].HH.V" advise="1">
        <values>
          <value>
            <val>0</val>
          </value>
        </values>
      </ddeItem>
      <ddeItem name="ai[203].i" advise="1">
        <values>
          <value>
            <val>0</val>
          </value>
        </values>
      </ddeItem>
      <ddeItem name="ai[203].isCorrect" advise="1">
        <values>
          <value>
            <val>0</val>
          </value>
        </values>
      </ddeItem>
      <ddeItem name="ai[203].isCut" advise="1"/>
      <ddeItem name="ai[203].isForce" advise="1">
        <values>
          <value>
            <val>0</val>
          </value>
        </values>
      </ddeItem>
      <ddeItem name="ai[203].isInvScale" advise="1">
        <values>
          <value>
            <val>0</val>
          </value>
        </values>
      </ddeItem>
      <ddeItem name="ai[203].L.EN" advise="1">
        <values>
          <value>
            <val>0</val>
          </value>
        </values>
      </ddeItem>
      <ddeItem name="ai[203].L.fix" advise="1">
        <values>
          <value>
            <val>0</val>
          </value>
        </values>
      </ddeItem>
      <ddeItem name="ai[203].L.V" advise="1">
        <values>
          <value>
            <val>0</val>
          </value>
        </values>
      </ddeItem>
      <ddeItem name="ai[203].LL.EN" advise="1">
        <values>
          <value>
            <val>0</val>
          </value>
        </values>
      </ddeItem>
      <ddeItem name="ai[203].LL.fix" advise="1">
        <values>
          <value>
            <val>0</val>
          </value>
        </values>
      </ddeItem>
      <ddeItem name="ai[203].LL.V" advise="1">
        <values>
          <value>
            <val>0</val>
          </value>
        </values>
      </ddeItem>
      <ddeItem name="ai[203].RH.EN" advise="1">
        <values>
          <value>
            <val>0</val>
          </value>
        </values>
      </ddeItem>
      <ddeItem name="ai[203].RH.fix" advise="1">
        <values>
          <value>
            <val>0</val>
          </value>
        </values>
      </ddeItem>
      <ddeItem name="ai[203].RH.V" advise="1">
        <values>
          <value>
            <val>0</val>
          </value>
        </values>
      </ddeItem>
      <ddeItem name="ai[203].RL.EN" advise="1">
        <values>
          <value>
            <val>0</val>
          </value>
        </values>
      </ddeItem>
      <ddeItem name="ai[203].RL.fix" advise="1">
        <values>
          <value>
            <val>0</val>
          </value>
        </values>
      </ddeItem>
      <ddeItem name="ai[203].RL.V" advise="1">
        <values>
          <value>
            <val>0</val>
          </value>
        </values>
      </ddeItem>
      <ddeItem name="ai[203].state" advise="1">
        <values>
          <value>
            <val>4</val>
          </value>
        </values>
      </ddeItem>
      <ddeItem name="ai[203].v" advise="1">
        <values>
          <value>
            <val>0</val>
          </value>
        </values>
      </ddeItem>
      <ddeItem name="ai[203].vCorrect" advise="1"/>
      <ddeItem name="ai[203].vCut" advise="1"/>
      <ddeItem name="ai[203].vRaw" advise="1"/>
      <ddeItem name="ai[203].ZH" advise="1">
        <values>
          <value>
            <val>0</val>
          </value>
        </values>
      </ddeItem>
      <ddeItem name="ai[203].ZL" advise="1">
        <values>
          <value>
            <val>0</val>
          </value>
        </values>
      </ddeItem>
      <ddeItem name="ai[204].break.sgn" advise="1">
        <values>
          <value>
            <val>0</val>
          </value>
        </values>
      </ddeItem>
      <ddeItem name="ai[204].EN" advise="1">
        <values>
          <value>
            <val>0</val>
          </value>
        </values>
      </ddeItem>
      <ddeItem name="ai[204].group" advise="1">
        <values>
          <value>
            <val>0</val>
          </value>
        </values>
      </ddeItem>
      <ddeItem name="ai[204].H.EN" advise="1">
        <values>
          <value>
            <val>0</val>
          </value>
        </values>
      </ddeItem>
      <ddeItem name="ai[204].H.fix" advise="1">
        <values>
          <value>
            <val>0</val>
          </value>
        </values>
      </ddeItem>
      <ddeItem name="ai[204].H.V" advise="1">
        <values>
          <value>
            <val>0</val>
          </value>
        </values>
      </ddeItem>
      <ddeItem name="ai[204].HH.EN" advise="1">
        <values>
          <value>
            <val>0</val>
          </value>
        </values>
      </ddeItem>
      <ddeItem name="ai[204].HH.fix" advise="1">
        <values>
          <value>
            <val>0</val>
          </value>
        </values>
      </ddeItem>
      <ddeItem name="ai[204].HH.V" advise="1">
        <values>
          <value>
            <val>0</val>
          </value>
        </values>
      </ddeItem>
      <ddeItem name="ai[204].i" advise="1">
        <values>
          <value>
            <val>0</val>
          </value>
        </values>
      </ddeItem>
      <ddeItem name="ai[204].isCorrect" advise="1">
        <values>
          <value>
            <val>0</val>
          </value>
        </values>
      </ddeItem>
      <ddeItem name="ai[204].isCut" advise="1"/>
      <ddeItem name="ai[204].isForce" advise="1">
        <values>
          <value>
            <val>0</val>
          </value>
        </values>
      </ddeItem>
      <ddeItem name="ai[204].isInvScale" advise="1">
        <values>
          <value>
            <val>0</val>
          </value>
        </values>
      </ddeItem>
      <ddeItem name="ai[204].L.EN" advise="1">
        <values>
          <value>
            <val>0</val>
          </value>
        </values>
      </ddeItem>
      <ddeItem name="ai[204].L.fix" advise="1">
        <values>
          <value>
            <val>0</val>
          </value>
        </values>
      </ddeItem>
      <ddeItem name="ai[204].L.V" advise="1">
        <values>
          <value>
            <val>0</val>
          </value>
        </values>
      </ddeItem>
      <ddeItem name="ai[204].LL.EN" advise="1">
        <values>
          <value>
            <val>0</val>
          </value>
        </values>
      </ddeItem>
      <ddeItem name="ai[204].LL.fix" advise="1">
        <values>
          <value>
            <val>0</val>
          </value>
        </values>
      </ddeItem>
      <ddeItem name="ai[204].LL.V" advise="1">
        <values>
          <value>
            <val>0</val>
          </value>
        </values>
      </ddeItem>
      <ddeItem name="ai[204].RH.EN" advise="1">
        <values>
          <value>
            <val>0</val>
          </value>
        </values>
      </ddeItem>
      <ddeItem name="ai[204].RH.fix" advise="1">
        <values>
          <value>
            <val>0</val>
          </value>
        </values>
      </ddeItem>
      <ddeItem name="ai[204].RH.V" advise="1">
        <values>
          <value>
            <val>0</val>
          </value>
        </values>
      </ddeItem>
      <ddeItem name="ai[204].RL.EN" advise="1">
        <values>
          <value>
            <val>0</val>
          </value>
        </values>
      </ddeItem>
      <ddeItem name="ai[204].RL.fix" advise="1">
        <values>
          <value>
            <val>0</val>
          </value>
        </values>
      </ddeItem>
      <ddeItem name="ai[204].RL.V" advise="1">
        <values>
          <value>
            <val>0</val>
          </value>
        </values>
      </ddeItem>
      <ddeItem name="ai[204].state" advise="1">
        <values>
          <value>
            <val>4</val>
          </value>
        </values>
      </ddeItem>
      <ddeItem name="ai[204].v" advise="1">
        <values>
          <value>
            <val>0</val>
          </value>
        </values>
      </ddeItem>
      <ddeItem name="ai[204].vCorrect" advise="1"/>
      <ddeItem name="ai[204].vCut" advise="1"/>
      <ddeItem name="ai[204].vRaw" advise="1"/>
      <ddeItem name="ai[204].ZH" advise="1">
        <values>
          <value>
            <val>0</val>
          </value>
        </values>
      </ddeItem>
      <ddeItem name="ai[204].ZL" advise="1">
        <values>
          <value>
            <val>0</val>
          </value>
        </values>
      </ddeItem>
      <ddeItem name="ai[205].break.sgn" advise="1">
        <values>
          <value>
            <val>0</val>
          </value>
        </values>
      </ddeItem>
      <ddeItem name="ai[205].EN" advise="1">
        <values>
          <value>
            <val>0</val>
          </value>
        </values>
      </ddeItem>
      <ddeItem name="ai[205].group" advise="1">
        <values>
          <value>
            <val>0</val>
          </value>
        </values>
      </ddeItem>
      <ddeItem name="ai[205].H.EN" advise="1">
        <values>
          <value>
            <val>0</val>
          </value>
        </values>
      </ddeItem>
      <ddeItem name="ai[205].H.fix" advise="1">
        <values>
          <value>
            <val>0</val>
          </value>
        </values>
      </ddeItem>
      <ddeItem name="ai[205].H.V" advise="1">
        <values>
          <value>
            <val>0</val>
          </value>
        </values>
      </ddeItem>
      <ddeItem name="ai[205].HH.EN" advise="1">
        <values>
          <value>
            <val>0</val>
          </value>
        </values>
      </ddeItem>
      <ddeItem name="ai[205].HH.fix" advise="1">
        <values>
          <value>
            <val>0</val>
          </value>
        </values>
      </ddeItem>
      <ddeItem name="ai[205].HH.V" advise="1">
        <values>
          <value>
            <val>0</val>
          </value>
        </values>
      </ddeItem>
      <ddeItem name="ai[205].i" advise="1">
        <values>
          <value>
            <val>0</val>
          </value>
        </values>
      </ddeItem>
      <ddeItem name="ai[205].isCorrect" advise="1">
        <values>
          <value>
            <val>0</val>
          </value>
        </values>
      </ddeItem>
      <ddeItem name="ai[205].isCut" advise="1"/>
      <ddeItem name="ai[205].isForce" advise="1">
        <values>
          <value>
            <val>0</val>
          </value>
        </values>
      </ddeItem>
      <ddeItem name="ai[205].isInvScale" advise="1">
        <values>
          <value>
            <val>0</val>
          </value>
        </values>
      </ddeItem>
      <ddeItem name="ai[205].L.EN" advise="1">
        <values>
          <value>
            <val>0</val>
          </value>
        </values>
      </ddeItem>
      <ddeItem name="ai[205].L.fix" advise="1">
        <values>
          <value>
            <val>0</val>
          </value>
        </values>
      </ddeItem>
      <ddeItem name="ai[205].L.V" advise="1">
        <values>
          <value>
            <val>0</val>
          </value>
        </values>
      </ddeItem>
      <ddeItem name="ai[205].LL.EN" advise="1">
        <values>
          <value>
            <val>0</val>
          </value>
        </values>
      </ddeItem>
      <ddeItem name="ai[205].LL.fix" advise="1">
        <values>
          <value>
            <val>0</val>
          </value>
        </values>
      </ddeItem>
      <ddeItem name="ai[205].LL.V" advise="1">
        <values>
          <value>
            <val>0</val>
          </value>
        </values>
      </ddeItem>
      <ddeItem name="ai[205].RH.EN" advise="1">
        <values>
          <value>
            <val>0</val>
          </value>
        </values>
      </ddeItem>
      <ddeItem name="ai[205].RH.fix" advise="1">
        <values>
          <value>
            <val>0</val>
          </value>
        </values>
      </ddeItem>
      <ddeItem name="ai[205].RH.V" advise="1">
        <values>
          <value>
            <val>0</val>
          </value>
        </values>
      </ddeItem>
      <ddeItem name="ai[205].RL.EN" advise="1">
        <values>
          <value>
            <val>0</val>
          </value>
        </values>
      </ddeItem>
      <ddeItem name="ai[205].RL.fix" advise="1">
        <values>
          <value>
            <val>0</val>
          </value>
        </values>
      </ddeItem>
      <ddeItem name="ai[205].RL.V" advise="1">
        <values>
          <value>
            <val>0</val>
          </value>
        </values>
      </ddeItem>
      <ddeItem name="ai[205].state" advise="1">
        <values>
          <value>
            <val>4</val>
          </value>
        </values>
      </ddeItem>
      <ddeItem name="ai[205].v" advise="1">
        <values>
          <value>
            <val>0</val>
          </value>
        </values>
      </ddeItem>
      <ddeItem name="ai[205].vCorrect" advise="1"/>
      <ddeItem name="ai[205].vCut" advise="1"/>
      <ddeItem name="ai[205].vRaw" advise="1"/>
      <ddeItem name="ai[205].ZH" advise="1">
        <values>
          <value>
            <val>0</val>
          </value>
        </values>
      </ddeItem>
      <ddeItem name="ai[205].ZL" advise="1">
        <values>
          <value>
            <val>0</val>
          </value>
        </values>
      </ddeItem>
      <ddeItem name="ai[206].break.sgn" advise="1">
        <values>
          <value>
            <val>0</val>
          </value>
        </values>
      </ddeItem>
      <ddeItem name="ai[206].EN" advise="1">
        <values>
          <value>
            <val>0</val>
          </value>
        </values>
      </ddeItem>
      <ddeItem name="ai[206].group" advise="1">
        <values>
          <value>
            <val>0</val>
          </value>
        </values>
      </ddeItem>
      <ddeItem name="ai[206].H.EN" advise="1">
        <values>
          <value>
            <val>0</val>
          </value>
        </values>
      </ddeItem>
      <ddeItem name="ai[206].H.fix" advise="1">
        <values>
          <value>
            <val>0</val>
          </value>
        </values>
      </ddeItem>
      <ddeItem name="ai[206].H.V" advise="1">
        <values>
          <value>
            <val>0</val>
          </value>
        </values>
      </ddeItem>
      <ddeItem name="ai[206].HH.EN" advise="1">
        <values>
          <value>
            <val>0</val>
          </value>
        </values>
      </ddeItem>
      <ddeItem name="ai[206].HH.fix" advise="1">
        <values>
          <value>
            <val>0</val>
          </value>
        </values>
      </ddeItem>
      <ddeItem name="ai[206].HH.V" advise="1">
        <values>
          <value>
            <val>0</val>
          </value>
        </values>
      </ddeItem>
      <ddeItem name="ai[206].i" advise="1">
        <values>
          <value>
            <val>0</val>
          </value>
        </values>
      </ddeItem>
      <ddeItem name="ai[206].isCorrect" advise="1">
        <values>
          <value>
            <val>0</val>
          </value>
        </values>
      </ddeItem>
      <ddeItem name="ai[206].isCut" advise="1"/>
      <ddeItem name="ai[206].isForce" advise="1">
        <values>
          <value>
            <val>0</val>
          </value>
        </values>
      </ddeItem>
      <ddeItem name="ai[206].isInvScale" advise="1">
        <values>
          <value>
            <val>0</val>
          </value>
        </values>
      </ddeItem>
      <ddeItem name="ai[206].L.EN" advise="1">
        <values>
          <value>
            <val>0</val>
          </value>
        </values>
      </ddeItem>
      <ddeItem name="ai[206].L.fix" advise="1">
        <values>
          <value>
            <val>0</val>
          </value>
        </values>
      </ddeItem>
      <ddeItem name="ai[206].L.V" advise="1">
        <values>
          <value>
            <val>0</val>
          </value>
        </values>
      </ddeItem>
      <ddeItem name="ai[206].LL.EN" advise="1">
        <values>
          <value>
            <val>0</val>
          </value>
        </values>
      </ddeItem>
      <ddeItem name="ai[206].LL.fix" advise="1">
        <values>
          <value>
            <val>0</val>
          </value>
        </values>
      </ddeItem>
      <ddeItem name="ai[206].LL.V" advise="1">
        <values>
          <value>
            <val>0</val>
          </value>
        </values>
      </ddeItem>
      <ddeItem name="ai[206].RH.EN" advise="1">
        <values>
          <value>
            <val>0</val>
          </value>
        </values>
      </ddeItem>
      <ddeItem name="ai[206].RH.fix" advise="1">
        <values>
          <value>
            <val>0</val>
          </value>
        </values>
      </ddeItem>
      <ddeItem name="ai[206].RH.V" advise="1">
        <values>
          <value>
            <val>0</val>
          </value>
        </values>
      </ddeItem>
      <ddeItem name="ai[206].RL.EN" advise="1">
        <values>
          <value>
            <val>0</val>
          </value>
        </values>
      </ddeItem>
      <ddeItem name="ai[206].RL.fix" advise="1">
        <values>
          <value>
            <val>0</val>
          </value>
        </values>
      </ddeItem>
      <ddeItem name="ai[206].RL.V" advise="1">
        <values>
          <value>
            <val>0</val>
          </value>
        </values>
      </ddeItem>
      <ddeItem name="ai[206].state" advise="1">
        <values>
          <value>
            <val>4</val>
          </value>
        </values>
      </ddeItem>
      <ddeItem name="ai[206].v" advise="1">
        <values>
          <value>
            <val>0</val>
          </value>
        </values>
      </ddeItem>
      <ddeItem name="ai[206].vCorrect" advise="1"/>
      <ddeItem name="ai[206].vCut" advise="1"/>
      <ddeItem name="ai[206].vRaw" advise="1"/>
      <ddeItem name="ai[206].ZH" advise="1">
        <values>
          <value>
            <val>0</val>
          </value>
        </values>
      </ddeItem>
      <ddeItem name="ai[206].ZL" advise="1">
        <values>
          <value>
            <val>0</val>
          </value>
        </values>
      </ddeItem>
      <ddeItem name="ai[207].break.sgn" advise="1">
        <values>
          <value>
            <val>0</val>
          </value>
        </values>
      </ddeItem>
      <ddeItem name="ai[207].EN" advise="1">
        <values>
          <value>
            <val>0</val>
          </value>
        </values>
      </ddeItem>
      <ddeItem name="ai[207].group" advise="1">
        <values>
          <value>
            <val>0</val>
          </value>
        </values>
      </ddeItem>
      <ddeItem name="ai[207].H.EN" advise="1">
        <values>
          <value>
            <val>0</val>
          </value>
        </values>
      </ddeItem>
      <ddeItem name="ai[207].H.fix" advise="1">
        <values>
          <value>
            <val>0</val>
          </value>
        </values>
      </ddeItem>
      <ddeItem name="ai[207].H.V" advise="1">
        <values>
          <value>
            <val>0</val>
          </value>
        </values>
      </ddeItem>
      <ddeItem name="ai[207].HH.EN" advise="1">
        <values>
          <value>
            <val>0</val>
          </value>
        </values>
      </ddeItem>
      <ddeItem name="ai[207].HH.fix" advise="1">
        <values>
          <value>
            <val>0</val>
          </value>
        </values>
      </ddeItem>
      <ddeItem name="ai[207].HH.V" advise="1">
        <values>
          <value>
            <val>0</val>
          </value>
        </values>
      </ddeItem>
      <ddeItem name="ai[207].i" advise="1">
        <values>
          <value>
            <val>0</val>
          </value>
        </values>
      </ddeItem>
      <ddeItem name="ai[207].isCorrect" advise="1">
        <values>
          <value>
            <val>0</val>
          </value>
        </values>
      </ddeItem>
      <ddeItem name="ai[207].isCut" advise="1"/>
      <ddeItem name="ai[207].isForce" advise="1">
        <values>
          <value>
            <val>0</val>
          </value>
        </values>
      </ddeItem>
      <ddeItem name="ai[207].isInvScale" advise="1">
        <values>
          <value>
            <val>0</val>
          </value>
        </values>
      </ddeItem>
      <ddeItem name="ai[207].L.EN" advise="1">
        <values>
          <value>
            <val>0</val>
          </value>
        </values>
      </ddeItem>
      <ddeItem name="ai[207].L.fix" advise="1">
        <values>
          <value>
            <val>0</val>
          </value>
        </values>
      </ddeItem>
      <ddeItem name="ai[207].L.V" advise="1">
        <values>
          <value>
            <val>0</val>
          </value>
        </values>
      </ddeItem>
      <ddeItem name="ai[207].LL.EN" advise="1">
        <values>
          <value>
            <val>0</val>
          </value>
        </values>
      </ddeItem>
      <ddeItem name="ai[207].LL.fix" advise="1">
        <values>
          <value>
            <val>0</val>
          </value>
        </values>
      </ddeItem>
      <ddeItem name="ai[207].LL.V" advise="1">
        <values>
          <value>
            <val>0</val>
          </value>
        </values>
      </ddeItem>
      <ddeItem name="ai[207].RH.EN" advise="1">
        <values>
          <value>
            <val>0</val>
          </value>
        </values>
      </ddeItem>
      <ddeItem name="ai[207].RH.fix" advise="1">
        <values>
          <value>
            <val>0</val>
          </value>
        </values>
      </ddeItem>
      <ddeItem name="ai[207].RH.V" advise="1">
        <values>
          <value>
            <val>0</val>
          </value>
        </values>
      </ddeItem>
      <ddeItem name="ai[207].RL.EN" advise="1">
        <values>
          <value>
            <val>0</val>
          </value>
        </values>
      </ddeItem>
      <ddeItem name="ai[207].RL.fix" advise="1">
        <values>
          <value>
            <val>0</val>
          </value>
        </values>
      </ddeItem>
      <ddeItem name="ai[207].RL.V" advise="1">
        <values>
          <value>
            <val>0</val>
          </value>
        </values>
      </ddeItem>
      <ddeItem name="ai[207].state" advise="1">
        <values>
          <value>
            <val>4</val>
          </value>
        </values>
      </ddeItem>
      <ddeItem name="ai[207].v" advise="1">
        <values>
          <value>
            <val>0</val>
          </value>
        </values>
      </ddeItem>
      <ddeItem name="ai[207].vCorrect" advise="1"/>
      <ddeItem name="ai[207].vCut" advise="1"/>
      <ddeItem name="ai[207].vRaw" advise="1"/>
      <ddeItem name="ai[207].ZH" advise="1">
        <values>
          <value>
            <val>0</val>
          </value>
        </values>
      </ddeItem>
      <ddeItem name="ai[207].ZL" advise="1">
        <values>
          <value>
            <val>0</val>
          </value>
        </values>
      </ddeItem>
      <ddeItem name="ai[208].break.sgn" advise="1">
        <values>
          <value>
            <val>0</val>
          </value>
        </values>
      </ddeItem>
      <ddeItem name="ai[208].EN" advise="1">
        <values>
          <value>
            <val>0</val>
          </value>
        </values>
      </ddeItem>
      <ddeItem name="ai[208].group" advise="1">
        <values>
          <value>
            <val>0</val>
          </value>
        </values>
      </ddeItem>
      <ddeItem name="ai[208].H.EN" advise="1">
        <values>
          <value>
            <val>0</val>
          </value>
        </values>
      </ddeItem>
      <ddeItem name="ai[208].H.fix" advise="1">
        <values>
          <value>
            <val>0</val>
          </value>
        </values>
      </ddeItem>
      <ddeItem name="ai[208].H.V" advise="1">
        <values>
          <value>
            <val>0</val>
          </value>
        </values>
      </ddeItem>
      <ddeItem name="ai[208].HH.EN" advise="1">
        <values>
          <value>
            <val>0</val>
          </value>
        </values>
      </ddeItem>
      <ddeItem name="ai[208].HH.fix" advise="1">
        <values>
          <value>
            <val>0</val>
          </value>
        </values>
      </ddeItem>
      <ddeItem name="ai[208].HH.V" advise="1">
        <values>
          <value>
            <val>0</val>
          </value>
        </values>
      </ddeItem>
      <ddeItem name="ai[208].i" advise="1">
        <values>
          <value>
            <val>0</val>
          </value>
        </values>
      </ddeItem>
      <ddeItem name="ai[208].isCorrect" advise="1">
        <values>
          <value>
            <val>0</val>
          </value>
        </values>
      </ddeItem>
      <ddeItem name="ai[208].isCut" advise="1"/>
      <ddeItem name="ai[208].isForce" advise="1">
        <values>
          <value>
            <val>0</val>
          </value>
        </values>
      </ddeItem>
      <ddeItem name="ai[208].isInvScale" advise="1">
        <values>
          <value>
            <val>0</val>
          </value>
        </values>
      </ddeItem>
      <ddeItem name="ai[208].L.EN" advise="1">
        <values>
          <value>
            <val>0</val>
          </value>
        </values>
      </ddeItem>
      <ddeItem name="ai[208].L.fix" advise="1">
        <values>
          <value>
            <val>0</val>
          </value>
        </values>
      </ddeItem>
      <ddeItem name="ai[208].L.V" advise="1">
        <values>
          <value>
            <val>0</val>
          </value>
        </values>
      </ddeItem>
      <ddeItem name="ai[208].LL.EN" advise="1">
        <values>
          <value>
            <val>0</val>
          </value>
        </values>
      </ddeItem>
      <ddeItem name="ai[208].LL.fix" advise="1">
        <values>
          <value>
            <val>0</val>
          </value>
        </values>
      </ddeItem>
      <ddeItem name="ai[208].LL.V" advise="1">
        <values>
          <value>
            <val>0</val>
          </value>
        </values>
      </ddeItem>
      <ddeItem name="ai[208].RH.EN" advise="1">
        <values>
          <value>
            <val>0</val>
          </value>
        </values>
      </ddeItem>
      <ddeItem name="ai[208].RH.fix" advise="1">
        <values>
          <value>
            <val>0</val>
          </value>
        </values>
      </ddeItem>
      <ddeItem name="ai[208].RH.V" advise="1">
        <values>
          <value>
            <val>0</val>
          </value>
        </values>
      </ddeItem>
      <ddeItem name="ai[208].RL.EN" advise="1">
        <values>
          <value>
            <val>0</val>
          </value>
        </values>
      </ddeItem>
      <ddeItem name="ai[208].RL.fix" advise="1">
        <values>
          <value>
            <val>0</val>
          </value>
        </values>
      </ddeItem>
      <ddeItem name="ai[208].RL.V" advise="1">
        <values>
          <value>
            <val>0</val>
          </value>
        </values>
      </ddeItem>
      <ddeItem name="ai[208].state" advise="1">
        <values>
          <value>
            <val>4</val>
          </value>
        </values>
      </ddeItem>
      <ddeItem name="ai[208].v" advise="1">
        <values>
          <value>
            <val>0</val>
          </value>
        </values>
      </ddeItem>
      <ddeItem name="ai[208].vCorrect" advise="1"/>
      <ddeItem name="ai[208].vCut" advise="1"/>
      <ddeItem name="ai[208].vRaw" advise="1"/>
      <ddeItem name="ai[208].ZH" advise="1">
        <values>
          <value>
            <val>0</val>
          </value>
        </values>
      </ddeItem>
      <ddeItem name="ai[208].ZL" advise="1">
        <values>
          <value>
            <val>0</val>
          </value>
        </values>
      </ddeItem>
      <ddeItem name="ai[209].break.sgn" advise="1">
        <values>
          <value>
            <val>0</val>
          </value>
        </values>
      </ddeItem>
      <ddeItem name="ai[209].EN" advise="1">
        <values>
          <value>
            <val>0</val>
          </value>
        </values>
      </ddeItem>
      <ddeItem name="ai[209].group" advise="1">
        <values>
          <value>
            <val>0</val>
          </value>
        </values>
      </ddeItem>
      <ddeItem name="ai[209].H.EN" advise="1">
        <values>
          <value>
            <val>0</val>
          </value>
        </values>
      </ddeItem>
      <ddeItem name="ai[209].H.fix" advise="1">
        <values>
          <value>
            <val>0</val>
          </value>
        </values>
      </ddeItem>
      <ddeItem name="ai[209].H.V" advise="1">
        <values>
          <value>
            <val>0</val>
          </value>
        </values>
      </ddeItem>
      <ddeItem name="ai[209].HH.EN" advise="1">
        <values>
          <value>
            <val>0</val>
          </value>
        </values>
      </ddeItem>
      <ddeItem name="ai[209].HH.fix" advise="1">
        <values>
          <value>
            <val>0</val>
          </value>
        </values>
      </ddeItem>
      <ddeItem name="ai[209].HH.V" advise="1">
        <values>
          <value>
            <val>0</val>
          </value>
        </values>
      </ddeItem>
      <ddeItem name="ai[209].i" advise="1">
        <values>
          <value>
            <val>0</val>
          </value>
        </values>
      </ddeItem>
      <ddeItem name="ai[209].isCorrect" advise="1">
        <values>
          <value>
            <val>0</val>
          </value>
        </values>
      </ddeItem>
      <ddeItem name="ai[209].isCut" advise="1"/>
      <ddeItem name="ai[209].isForce" advise="1">
        <values>
          <value>
            <val>0</val>
          </value>
        </values>
      </ddeItem>
      <ddeItem name="ai[209].isInvScale" advise="1">
        <values>
          <value>
            <val>0</val>
          </value>
        </values>
      </ddeItem>
      <ddeItem name="ai[209].L.EN" advise="1">
        <values>
          <value>
            <val>0</val>
          </value>
        </values>
      </ddeItem>
      <ddeItem name="ai[209].L.fix" advise="1">
        <values>
          <value>
            <val>0</val>
          </value>
        </values>
      </ddeItem>
      <ddeItem name="ai[209].L.V" advise="1">
        <values>
          <value>
            <val>0</val>
          </value>
        </values>
      </ddeItem>
      <ddeItem name="ai[209].LL.EN" advise="1">
        <values>
          <value>
            <val>0</val>
          </value>
        </values>
      </ddeItem>
      <ddeItem name="ai[209].LL.fix" advise="1">
        <values>
          <value>
            <val>0</val>
          </value>
        </values>
      </ddeItem>
      <ddeItem name="ai[209].LL.V" advise="1">
        <values>
          <value>
            <val>0</val>
          </value>
        </values>
      </ddeItem>
      <ddeItem name="ai[209].RH.EN" advise="1">
        <values>
          <value>
            <val>0</val>
          </value>
        </values>
      </ddeItem>
      <ddeItem name="ai[209].RH.fix" advise="1">
        <values>
          <value>
            <val>0</val>
          </value>
        </values>
      </ddeItem>
      <ddeItem name="ai[209].RH.V" advise="1">
        <values>
          <value>
            <val>0</val>
          </value>
        </values>
      </ddeItem>
      <ddeItem name="ai[209].RL.EN" advise="1">
        <values>
          <value>
            <val>0</val>
          </value>
        </values>
      </ddeItem>
      <ddeItem name="ai[209].RL.fix" advise="1">
        <values>
          <value>
            <val>0</val>
          </value>
        </values>
      </ddeItem>
      <ddeItem name="ai[209].RL.V" advise="1">
        <values>
          <value>
            <val>0</val>
          </value>
        </values>
      </ddeItem>
      <ddeItem name="ai[209].state" advise="1">
        <values>
          <value>
            <val>4</val>
          </value>
        </values>
      </ddeItem>
      <ddeItem name="ai[209].v" advise="1">
        <values>
          <value>
            <val>0</val>
          </value>
        </values>
      </ddeItem>
      <ddeItem name="ai[209].vCorrect" advise="1"/>
      <ddeItem name="ai[209].vCut" advise="1"/>
      <ddeItem name="ai[209].vRaw" advise="1"/>
      <ddeItem name="ai[209].ZH" advise="1">
        <values>
          <value>
            <val>0</val>
          </value>
        </values>
      </ddeItem>
      <ddeItem name="ai[209].ZL" advise="1">
        <values>
          <value>
            <val>0</val>
          </value>
        </values>
      </ddeItem>
      <ddeItem name="AI[21].break.sgn" advise="1">
        <values>
          <value>
            <val>1</val>
          </value>
        </values>
      </ddeItem>
      <ddeItem name="AI[21].EN" advise="1">
        <values>
          <value>
            <val>1</val>
          </value>
        </values>
      </ddeItem>
      <ddeItem name="AI[21].group" advise="1">
        <values>
          <value>
            <val>1</val>
          </value>
        </values>
      </ddeItem>
      <ddeItem name="AI[21].H.EN" advise="1">
        <values>
          <value>
            <val>0</val>
          </value>
        </values>
      </ddeItem>
      <ddeItem name="AI[21].H.fix" advise="1">
        <values>
          <value>
            <val>0</val>
          </value>
        </values>
      </ddeItem>
      <ddeItem name="AI[21].H.V" advise="1">
        <values>
          <value>
            <val>0</val>
          </value>
        </values>
      </ddeItem>
      <ddeItem name="AI[21].HH.EN" advise="1">
        <values>
          <value>
            <val>0</val>
          </value>
        </values>
      </ddeItem>
      <ddeItem name="AI[21].HH.fix" advise="1">
        <values>
          <value>
            <val>0</val>
          </value>
        </values>
      </ddeItem>
      <ddeItem name="AI[21].HH.V" advise="1">
        <values>
          <value>
            <val>0</val>
          </value>
        </values>
      </ddeItem>
      <ddeItem name="AI[21].i" advise="1">
        <values>
          <value>
            <val>2.8266910000000001E-3</val>
          </value>
        </values>
      </ddeItem>
      <ddeItem name="AI[21].isCorrect" advise="1">
        <values>
          <value>
            <val>0</val>
          </value>
        </values>
      </ddeItem>
      <ddeItem name="AI[21].isCut" advise="1"/>
      <ddeItem name="AI[21].isForce" advise="1">
        <values>
          <value>
            <val>0</val>
          </value>
        </values>
      </ddeItem>
      <ddeItem name="AI[21].isInvScale" advise="1">
        <values>
          <value>
            <val>0</val>
          </value>
        </values>
      </ddeItem>
      <ddeItem name="AI[21].L.EN" advise="1">
        <values>
          <value>
            <val>0</val>
          </value>
        </values>
      </ddeItem>
      <ddeItem name="AI[21].L.fix" advise="1">
        <values>
          <value>
            <val>0</val>
          </value>
        </values>
      </ddeItem>
      <ddeItem name="AI[21].L.V" advise="1">
        <values>
          <value>
            <val>0</val>
          </value>
        </values>
      </ddeItem>
      <ddeItem name="AI[21].LL.EN" advise="1">
        <values>
          <value>
            <val>0</val>
          </value>
        </values>
      </ddeItem>
      <ddeItem name="AI[21].LL.fix" advise="1">
        <values>
          <value>
            <val>0</val>
          </value>
        </values>
      </ddeItem>
      <ddeItem name="AI[21].LL.V" advise="1">
        <values>
          <value>
            <val>0</val>
          </value>
        </values>
      </ddeItem>
      <ddeItem name="AI[21].RH.EN" advise="1">
        <values>
          <value>
            <val>1</val>
          </value>
        </values>
      </ddeItem>
      <ddeItem name="AI[21].RH.fix" advise="1">
        <values>
          <value>
            <val>0</val>
          </value>
        </values>
      </ddeItem>
      <ddeItem name="AI[21].RH.V" advise="1">
        <values>
          <value>
            <val>80</val>
          </value>
        </values>
      </ddeItem>
      <ddeItem name="AI[21].RL.EN" advise="1">
        <values>
          <value>
            <val>1</val>
          </value>
        </values>
      </ddeItem>
      <ddeItem name="AI[21].RL.fix" advise="1">
        <values>
          <value>
            <val>0</val>
          </value>
        </values>
      </ddeItem>
      <ddeItem name="AI[21].RL.V" advise="1">
        <values>
          <value>
            <val>20</val>
          </value>
        </values>
      </ddeItem>
      <ddeItem name="AI[21].state" advise="1">
        <values>
          <value>
            <val>4</val>
          </value>
        </values>
      </ddeItem>
      <ddeItem name="AI[21].v" advise="1">
        <values>
          <value>
            <val>0</val>
          </value>
        </values>
      </ddeItem>
      <ddeItem name="AI[21].vCorrect" advise="1"/>
      <ddeItem name="AI[21].vCut" advise="1"/>
      <ddeItem name="AI[21].vRaw" advise="1"/>
      <ddeItem name="AI[21].ZH" advise="1">
        <values>
          <value>
            <val>100</val>
          </value>
        </values>
      </ddeItem>
      <ddeItem name="AI[21].ZL" advise="1">
        <values>
          <value>
            <val>0</val>
          </value>
        </values>
      </ddeItem>
      <ddeItem name="AI[22].break.sgn" advise="1">
        <values>
          <value>
            <val>1</val>
          </value>
        </values>
      </ddeItem>
      <ddeItem name="AI[22].EN" advise="1">
        <values>
          <value>
            <val>1</val>
          </value>
        </values>
      </ddeItem>
      <ddeItem name="AI[22].group" advise="1">
        <values>
          <value>
            <val>1</val>
          </value>
        </values>
      </ddeItem>
      <ddeItem name="AI[22].H.EN" advise="1">
        <values>
          <value>
            <val>0</val>
          </value>
        </values>
      </ddeItem>
      <ddeItem name="AI[22].H.fix" advise="1">
        <values>
          <value>
            <val>0</val>
          </value>
        </values>
      </ddeItem>
      <ddeItem name="AI[22].H.V" advise="1">
        <values>
          <value>
            <val>0</val>
          </value>
        </values>
      </ddeItem>
      <ddeItem name="AI[22].HH.EN" advise="1">
        <values>
          <value>
            <val>0</val>
          </value>
        </values>
      </ddeItem>
      <ddeItem name="AI[22].HH.fix" advise="1">
        <values>
          <value>
            <val>0</val>
          </value>
        </values>
      </ddeItem>
      <ddeItem name="AI[22].HH.V" advise="1">
        <values>
          <value>
            <val>0</val>
          </value>
        </values>
      </ddeItem>
      <ddeItem name="AI[22].i" advise="1">
        <values>
          <value>
            <val>2.8266910000000001E-3</val>
          </value>
        </values>
      </ddeItem>
      <ddeItem name="AI[22].isCorrect" advise="1">
        <values>
          <value>
            <val>0</val>
          </value>
        </values>
      </ddeItem>
      <ddeItem name="AI[22].isCut" advise="1"/>
      <ddeItem name="AI[22].isForce" advise="1">
        <values>
          <value>
            <val>0</val>
          </value>
        </values>
      </ddeItem>
      <ddeItem name="AI[22].isInvScale" advise="1">
        <values>
          <value>
            <val>0</val>
          </value>
        </values>
      </ddeItem>
      <ddeItem name="AI[22].L.EN" advise="1">
        <values>
          <value>
            <val>0</val>
          </value>
        </values>
      </ddeItem>
      <ddeItem name="AI[22].L.fix" advise="1">
        <values>
          <value>
            <val>0</val>
          </value>
        </values>
      </ddeItem>
      <ddeItem name="AI[22].L.V" advise="1">
        <values>
          <value>
            <val>0</val>
          </value>
        </values>
      </ddeItem>
      <ddeItem name="AI[22].LL.EN" advise="1">
        <values>
          <value>
            <val>0</val>
          </value>
        </values>
      </ddeItem>
      <ddeItem name="AI[22].LL.fix" advise="1">
        <values>
          <value>
            <val>0</val>
          </value>
        </values>
      </ddeItem>
      <ddeItem name="AI[22].LL.V" advise="1">
        <values>
          <value>
            <val>0</val>
          </value>
        </values>
      </ddeItem>
      <ddeItem name="AI[22].RH.EN" advise="1">
        <values>
          <value>
            <val>1</val>
          </value>
        </values>
      </ddeItem>
      <ddeItem name="AI[22].RH.fix" advise="1">
        <values>
          <value>
            <val>0</val>
          </value>
        </values>
      </ddeItem>
      <ddeItem name="AI[22].RH.V" advise="1">
        <values>
          <value>
            <val>80</val>
          </value>
        </values>
      </ddeItem>
      <ddeItem name="AI[22].RL.EN" advise="1">
        <values>
          <value>
            <val>1</val>
          </value>
        </values>
      </ddeItem>
      <ddeItem name="AI[22].RL.fix" advise="1">
        <values>
          <value>
            <val>0</val>
          </value>
        </values>
      </ddeItem>
      <ddeItem name="AI[22].RL.V" advise="1">
        <values>
          <value>
            <val>20</val>
          </value>
        </values>
      </ddeItem>
      <ddeItem name="AI[22].state" advise="1">
        <values>
          <value>
            <val>4</val>
          </value>
        </values>
      </ddeItem>
      <ddeItem name="AI[22].v" advise="1">
        <values>
          <value>
            <val>0</val>
          </value>
        </values>
      </ddeItem>
      <ddeItem name="AI[22].vCorrect" advise="1"/>
      <ddeItem name="AI[22].vCut" advise="1"/>
      <ddeItem name="AI[22].vRaw" advise="1"/>
      <ddeItem name="AI[22].ZH" advise="1">
        <values>
          <value>
            <val>100</val>
          </value>
        </values>
      </ddeItem>
      <ddeItem name="AI[22].ZL" advise="1">
        <values>
          <value>
            <val>0</val>
          </value>
        </values>
      </ddeItem>
      <ddeItem name="AI[23].break.sgn" advise="1">
        <values>
          <value>
            <val>1</val>
          </value>
        </values>
      </ddeItem>
      <ddeItem name="AI[23].EN" advise="1">
        <values>
          <value>
            <val>1</val>
          </value>
        </values>
      </ddeItem>
      <ddeItem name="AI[23].group" advise="1">
        <values>
          <value>
            <val>1</val>
          </value>
        </values>
      </ddeItem>
      <ddeItem name="AI[23].H.EN" advise="1">
        <values>
          <value>
            <val>0</val>
          </value>
        </values>
      </ddeItem>
      <ddeItem name="AI[23].H.fix" advise="1">
        <values>
          <value>
            <val>0</val>
          </value>
        </values>
      </ddeItem>
      <ddeItem name="AI[23].H.V" advise="1">
        <values>
          <value>
            <val>0</val>
          </value>
        </values>
      </ddeItem>
      <ddeItem name="AI[23].HH.EN" advise="1">
        <values>
          <value>
            <val>0</val>
          </value>
        </values>
      </ddeItem>
      <ddeItem name="AI[23].HH.fix" advise="1">
        <values>
          <value>
            <val>0</val>
          </value>
        </values>
      </ddeItem>
      <ddeItem name="AI[23].HH.V" advise="1">
        <values>
          <value>
            <val>0</val>
          </value>
        </values>
      </ddeItem>
      <ddeItem name="AI[23].i" advise="1">
        <values>
          <value>
            <val>3.1404499999999999E-3</val>
          </value>
        </values>
      </ddeItem>
      <ddeItem name="AI[23].isCorrect" advise="1">
        <values>
          <value>
            <val>0</val>
          </value>
        </values>
      </ddeItem>
      <ddeItem name="AI[23].isCut" advise="1"/>
      <ddeItem name="AI[23].isForce" advise="1">
        <values>
          <value>
            <val>0</val>
          </value>
        </values>
      </ddeItem>
      <ddeItem name="AI[23].isInvScale" advise="1">
        <values>
          <value>
            <val>0</val>
          </value>
        </values>
      </ddeItem>
      <ddeItem name="AI[23].L.EN" advise="1">
        <values>
          <value>
            <val>0</val>
          </value>
        </values>
      </ddeItem>
      <ddeItem name="AI[23].L.fix" advise="1">
        <values>
          <value>
            <val>0</val>
          </value>
        </values>
      </ddeItem>
      <ddeItem name="AI[23].L.V" advise="1">
        <values>
          <value>
            <val>0</val>
          </value>
        </values>
      </ddeItem>
      <ddeItem name="AI[23].LL.EN" advise="1">
        <values>
          <value>
            <val>0</val>
          </value>
        </values>
      </ddeItem>
      <ddeItem name="AI[23].LL.fix" advise="1">
        <values>
          <value>
            <val>0</val>
          </value>
        </values>
      </ddeItem>
      <ddeItem name="AI[23].LL.V" advise="1">
        <values>
          <value>
            <val>0</val>
          </value>
        </values>
      </ddeItem>
      <ddeItem name="AI[23].RH.EN" advise="1">
        <values>
          <value>
            <val>1</val>
          </value>
        </values>
      </ddeItem>
      <ddeItem name="AI[23].RH.fix" advise="1">
        <values>
          <value>
            <val>0</val>
          </value>
        </values>
      </ddeItem>
      <ddeItem name="AI[23].RH.V" advise="1">
        <values>
          <value>
            <val>80</val>
          </value>
        </values>
      </ddeItem>
      <ddeItem name="AI[23].RL.EN" advise="1">
        <values>
          <value>
            <val>1</val>
          </value>
        </values>
      </ddeItem>
      <ddeItem name="AI[23].RL.fix" advise="1">
        <values>
          <value>
            <val>0</val>
          </value>
        </values>
      </ddeItem>
      <ddeItem name="AI[23].RL.V" advise="1">
        <values>
          <value>
            <val>20</val>
          </value>
        </values>
      </ddeItem>
      <ddeItem name="AI[23].state" advise="1">
        <values>
          <value>
            <val>4</val>
          </value>
        </values>
      </ddeItem>
      <ddeItem name="AI[23].v" advise="1">
        <values>
          <value>
            <val>0</val>
          </value>
        </values>
      </ddeItem>
      <ddeItem name="AI[23].vCorrect" advise="1"/>
      <ddeItem name="AI[23].vCut" advise="1"/>
      <ddeItem name="AI[23].vRaw" advise="1"/>
      <ddeItem name="AI[23].ZH" advise="1">
        <values>
          <value>
            <val>100</val>
          </value>
        </values>
      </ddeItem>
      <ddeItem name="AI[23].ZL" advise="1">
        <values>
          <value>
            <val>0</val>
          </value>
        </values>
      </ddeItem>
      <ddeItem name="AI[24].break.sgn" advise="1">
        <values>
          <value>
            <val>1</val>
          </value>
        </values>
      </ddeItem>
      <ddeItem name="AI[24].EN" advise="1">
        <values>
          <value>
            <val>1</val>
          </value>
        </values>
      </ddeItem>
      <ddeItem name="AI[24].group" advise="1">
        <values>
          <value>
            <val>1</val>
          </value>
        </values>
      </ddeItem>
      <ddeItem name="AI[24].H.EN" advise="1">
        <values>
          <value>
            <val>0</val>
          </value>
        </values>
      </ddeItem>
      <ddeItem name="AI[24].H.fix" advise="1">
        <values>
          <value>
            <val>0</val>
          </value>
        </values>
      </ddeItem>
      <ddeItem name="AI[24].H.V" advise="1">
        <values>
          <value>
            <val>0</val>
          </value>
        </values>
      </ddeItem>
      <ddeItem name="AI[24].HH.EN" advise="1">
        <values>
          <value>
            <val>0</val>
          </value>
        </values>
      </ddeItem>
      <ddeItem name="AI[24].HH.fix" advise="1">
        <values>
          <value>
            <val>0</val>
          </value>
        </values>
      </ddeItem>
      <ddeItem name="AI[24].HH.V" advise="1">
        <values>
          <value>
            <val>0</val>
          </value>
        </values>
      </ddeItem>
      <ddeItem name="AI[24].i" advise="1">
        <values>
          <value>
            <val>2.5129319999999998E-3</val>
          </value>
        </values>
      </ddeItem>
      <ddeItem name="AI[24].isCorrect" advise="1">
        <values>
          <value>
            <val>0</val>
          </value>
        </values>
      </ddeItem>
      <ddeItem name="AI[24].isCut" advise="1"/>
      <ddeItem name="AI[24].isForce" advise="1">
        <values>
          <value>
            <val>0</val>
          </value>
        </values>
      </ddeItem>
      <ddeItem name="AI[24].isInvScale" advise="1">
        <values>
          <value>
            <val>0</val>
          </value>
        </values>
      </ddeItem>
      <ddeItem name="AI[24].L.EN" advise="1">
        <values>
          <value>
            <val>0</val>
          </value>
        </values>
      </ddeItem>
      <ddeItem name="AI[24].L.fix" advise="1">
        <values>
          <value>
            <val>0</val>
          </value>
        </values>
      </ddeItem>
      <ddeItem name="AI[24].L.V" advise="1">
        <values>
          <value>
            <val>0</val>
          </value>
        </values>
      </ddeItem>
      <ddeItem name="AI[24].LL.EN" advise="1">
        <values>
          <value>
            <val>0</val>
          </value>
        </values>
      </ddeItem>
      <ddeItem name="AI[24].LL.fix" advise="1">
        <values>
          <value>
            <val>0</val>
          </value>
        </values>
      </ddeItem>
      <ddeItem name="AI[24].LL.V" advise="1">
        <values>
          <value>
            <val>0</val>
          </value>
        </values>
      </ddeItem>
      <ddeItem name="AI[24].RH.EN" advise="1">
        <values>
          <value>
            <val>1</val>
          </value>
        </values>
      </ddeItem>
      <ddeItem name="AI[24].RH.fix" advise="1">
        <values>
          <value>
            <val>0</val>
          </value>
        </values>
      </ddeItem>
      <ddeItem name="AI[24].RH.V" advise="1">
        <values>
          <value>
            <val>80</val>
          </value>
        </values>
      </ddeItem>
      <ddeItem name="AI[24].RL.EN" advise="1">
        <values>
          <value>
            <val>1</val>
          </value>
        </values>
      </ddeItem>
      <ddeItem name="AI[24].RL.fix" advise="1">
        <values>
          <value>
            <val>0</val>
          </value>
        </values>
      </ddeItem>
      <ddeItem name="AI[24].RL.V" advise="1">
        <values>
          <value>
            <val>20</val>
          </value>
        </values>
      </ddeItem>
      <ddeItem name="AI[24].state" advise="1">
        <values>
          <value>
            <val>4</val>
          </value>
        </values>
      </ddeItem>
      <ddeItem name="AI[24].v" advise="1">
        <values>
          <value>
            <val>0</val>
          </value>
        </values>
      </ddeItem>
      <ddeItem name="AI[24].vCorrect" advise="1"/>
      <ddeItem name="AI[24].vCut" advise="1"/>
      <ddeItem name="AI[24].vRaw" advise="1"/>
      <ddeItem name="AI[24].ZH" advise="1">
        <values>
          <value>
            <val>100</val>
          </value>
        </values>
      </ddeItem>
      <ddeItem name="AI[24].ZL" advise="1">
        <values>
          <value>
            <val>0</val>
          </value>
        </values>
      </ddeItem>
      <ddeItem name="AI[25].break.sgn" advise="1">
        <values>
          <value>
            <val>1</val>
          </value>
        </values>
      </ddeItem>
      <ddeItem name="AI[25].EN" advise="1">
        <values>
          <value>
            <val>1</val>
          </value>
        </values>
      </ddeItem>
      <ddeItem name="AI[25].group" advise="1">
        <values>
          <value>
            <val>1</val>
          </value>
        </values>
      </ddeItem>
      <ddeItem name="AI[25].H.EN" advise="1">
        <values>
          <value>
            <val>0</val>
          </value>
        </values>
      </ddeItem>
      <ddeItem name="AI[25].H.fix" advise="1">
        <values>
          <value>
            <val>0</val>
          </value>
        </values>
      </ddeItem>
      <ddeItem name="AI[25].H.V" advise="1">
        <values>
          <value>
            <val>0</val>
          </value>
        </values>
      </ddeItem>
      <ddeItem name="AI[25].HH.EN" advise="1">
        <values>
          <value>
            <val>0</val>
          </value>
        </values>
      </ddeItem>
      <ddeItem name="AI[25].HH.fix" advise="1">
        <values>
          <value>
            <val>0</val>
          </value>
        </values>
      </ddeItem>
      <ddeItem name="AI[25].HH.V" advise="1">
        <values>
          <value>
            <val>0</val>
          </value>
        </values>
      </ddeItem>
      <ddeItem name="AI[25].i" advise="1">
        <values>
          <value>
            <val>2.8266910000000001E-3</val>
          </value>
        </values>
      </ddeItem>
      <ddeItem name="AI[25].isCorrect" advise="1">
        <values>
          <value>
            <val>0</val>
          </value>
        </values>
      </ddeItem>
      <ddeItem name="AI[25].isCut" advise="1"/>
      <ddeItem name="AI[25].isForce" advise="1">
        <values>
          <value>
            <val>0</val>
          </value>
        </values>
      </ddeItem>
      <ddeItem name="AI[25].isInvScale" advise="1">
        <values>
          <value>
            <val>0</val>
          </value>
        </values>
      </ddeItem>
      <ddeItem name="AI[25].L.EN" advise="1">
        <values>
          <value>
            <val>0</val>
          </value>
        </values>
      </ddeItem>
      <ddeItem name="AI[25].L.fix" advise="1">
        <values>
          <value>
            <val>0</val>
          </value>
        </values>
      </ddeItem>
      <ddeItem name="AI[25].L.V" advise="1">
        <values>
          <value>
            <val>0</val>
          </value>
        </values>
      </ddeItem>
      <ddeItem name="AI[25].LL.EN" advise="1">
        <values>
          <value>
            <val>0</val>
          </value>
        </values>
      </ddeItem>
      <ddeItem name="AI[25].LL.fix" advise="1">
        <values>
          <value>
            <val>0</val>
          </value>
        </values>
      </ddeItem>
      <ddeItem name="AI[25].LL.V" advise="1">
        <values>
          <value>
            <val>0</val>
          </value>
        </values>
      </ddeItem>
      <ddeItem name="AI[25].RH.EN" advise="1">
        <values>
          <value>
            <val>1</val>
          </value>
        </values>
      </ddeItem>
      <ddeItem name="AI[25].RH.fix" advise="1">
        <values>
          <value>
            <val>0</val>
          </value>
        </values>
      </ddeItem>
      <ddeItem name="AI[25].RH.V" advise="1">
        <values>
          <value>
            <val>170</val>
          </value>
        </values>
      </ddeItem>
      <ddeItem name="AI[25].RL.EN" advise="1">
        <values>
          <value>
            <val>1</val>
          </value>
        </values>
      </ddeItem>
      <ddeItem name="AI[25].RL.fix" advise="1">
        <values>
          <value>
            <val>0</val>
          </value>
        </values>
      </ddeItem>
      <ddeItem name="AI[25].RL.V" advise="1">
        <values>
          <value>
            <val>160</val>
          </value>
        </values>
      </ddeItem>
      <ddeItem name="AI[25].state" advise="1">
        <values>
          <value>
            <val>4</val>
          </value>
        </values>
      </ddeItem>
      <ddeItem name="AI[25].v" advise="1">
        <values>
          <value>
            <val>0</val>
          </value>
        </values>
      </ddeItem>
      <ddeItem name="AI[25].vCorrect" advise="1"/>
      <ddeItem name="AI[25].vCut" advise="1"/>
      <ddeItem name="AI[25].vRaw" advise="1"/>
      <ddeItem name="AI[25].ZH" advise="1">
        <values>
          <value>
            <val>300</val>
          </value>
        </values>
      </ddeItem>
      <ddeItem name="AI[25].ZL" advise="1">
        <values>
          <value>
            <val>0</val>
          </value>
        </values>
      </ddeItem>
      <ddeItem name="AI[26].break.sgn" advise="1">
        <values>
          <value>
            <val>1</val>
          </value>
        </values>
      </ddeItem>
      <ddeItem name="AI[26].EN" advise="1">
        <values>
          <value>
            <val>1</val>
          </value>
        </values>
      </ddeItem>
      <ddeItem name="AI[26].group" advise="1">
        <values>
          <value>
            <val>1</val>
          </value>
        </values>
      </ddeItem>
      <ddeItem name="AI[26].H.EN" advise="1">
        <values>
          <value>
            <val>0</val>
          </value>
        </values>
      </ddeItem>
      <ddeItem name="AI[26].H.fix" advise="1">
        <values>
          <value>
            <val>0</val>
          </value>
        </values>
      </ddeItem>
      <ddeItem name="AI[26].H.V" advise="1">
        <values>
          <value>
            <val>0</val>
          </value>
        </values>
      </ddeItem>
      <ddeItem name="AI[26].HH.EN" advise="1">
        <values>
          <value>
            <val>0</val>
          </value>
        </values>
      </ddeItem>
      <ddeItem name="AI[26].HH.fix" advise="1">
        <values>
          <value>
            <val>0</val>
          </value>
        </values>
      </ddeItem>
      <ddeItem name="AI[26].HH.V" advise="1">
        <values>
          <value>
            <val>0</val>
          </value>
        </values>
      </ddeItem>
      <ddeItem name="AI[26].i" advise="1">
        <values>
          <value>
            <val>2.8266910000000001E-3</val>
          </value>
        </values>
      </ddeItem>
      <ddeItem name="AI[26].isCorrect" advise="1">
        <values>
          <value>
            <val>0</val>
          </value>
        </values>
      </ddeItem>
      <ddeItem name="AI[26].isCut" advise="1"/>
      <ddeItem name="AI[26].isForce" advise="1">
        <values>
          <value>
            <val>0</val>
          </value>
        </values>
      </ddeItem>
      <ddeItem name="AI[26].isInvScale" advise="1">
        <values>
          <value>
            <val>0</val>
          </value>
        </values>
      </ddeItem>
      <ddeItem name="AI[26].L.EN" advise="1">
        <values>
          <value>
            <val>0</val>
          </value>
        </values>
      </ddeItem>
      <ddeItem name="AI[26].L.fix" advise="1">
        <values>
          <value>
            <val>0</val>
          </value>
        </values>
      </ddeItem>
      <ddeItem name="AI[26].L.V" advise="1">
        <values>
          <value>
            <val>0</val>
          </value>
        </values>
      </ddeItem>
      <ddeItem name="AI[26].LL.EN" advise="1">
        <values>
          <value>
            <val>0</val>
          </value>
        </values>
      </ddeItem>
      <ddeItem name="AI[26].LL.fix" advise="1">
        <values>
          <value>
            <val>0</val>
          </value>
        </values>
      </ddeItem>
      <ddeItem name="AI[26].LL.V" advise="1">
        <values>
          <value>
            <val>0</val>
          </value>
        </values>
      </ddeItem>
      <ddeItem name="AI[26].RH.EN" advise="1">
        <values>
          <value>
            <val>1</val>
          </value>
        </values>
      </ddeItem>
      <ddeItem name="AI[26].RH.fix" advise="1">
        <values>
          <value>
            <val>0</val>
          </value>
        </values>
      </ddeItem>
      <ddeItem name="AI[26].RH.V" advise="1">
        <values>
          <value>
            <val>170</val>
          </value>
        </values>
      </ddeItem>
      <ddeItem name="AI[26].RL.EN" advise="1">
        <values>
          <value>
            <val>1</val>
          </value>
        </values>
      </ddeItem>
      <ddeItem name="AI[26].RL.fix" advise="1">
        <values>
          <value>
            <val>0</val>
          </value>
        </values>
      </ddeItem>
      <ddeItem name="AI[26].RL.V" advise="1">
        <values>
          <value>
            <val>160</val>
          </value>
        </values>
      </ddeItem>
      <ddeItem name="AI[26].state" advise="1">
        <values>
          <value>
            <val>4</val>
          </value>
        </values>
      </ddeItem>
      <ddeItem name="AI[26].v" advise="1">
        <values>
          <value>
            <val>0</val>
          </value>
        </values>
      </ddeItem>
      <ddeItem name="AI[26].vCorrect" advise="1"/>
      <ddeItem name="AI[26].vCut" advise="1"/>
      <ddeItem name="AI[26].vRaw" advise="1"/>
      <ddeItem name="AI[26].ZH" advise="1">
        <values>
          <value>
            <val>300</val>
          </value>
        </values>
      </ddeItem>
      <ddeItem name="AI[26].ZL" advise="1">
        <values>
          <value>
            <val>0</val>
          </value>
        </values>
      </ddeItem>
      <ddeItem name="AI[27].break.sgn" advise="1">
        <values>
          <value>
            <val>1</val>
          </value>
        </values>
      </ddeItem>
      <ddeItem name="AI[27].EN" advise="1">
        <values>
          <value>
            <val>1</val>
          </value>
        </values>
      </ddeItem>
      <ddeItem name="AI[27].group" advise="1">
        <values>
          <value>
            <val>1</val>
          </value>
        </values>
      </ddeItem>
      <ddeItem name="AI[27].H.EN" advise="1">
        <values>
          <value>
            <val>0</val>
          </value>
        </values>
      </ddeItem>
      <ddeItem name="AI[27].H.fix" advise="1">
        <values>
          <value>
            <val>0</val>
          </value>
        </values>
      </ddeItem>
      <ddeItem name="AI[27].H.V" advise="1">
        <values>
          <value>
            <val>0</val>
          </value>
        </values>
      </ddeItem>
      <ddeItem name="AI[27].HH.EN" advise="1">
        <values>
          <value>
            <val>0</val>
          </value>
        </values>
      </ddeItem>
      <ddeItem name="AI[27].HH.fix" advise="1">
        <values>
          <value>
            <val>0</val>
          </value>
        </values>
      </ddeItem>
      <ddeItem name="AI[27].HH.V" advise="1">
        <values>
          <value>
            <val>0</val>
          </value>
        </values>
      </ddeItem>
      <ddeItem name="AI[27].i" advise="1">
        <values>
          <value>
            <val>2.8266910000000001E-3</val>
          </value>
        </values>
      </ddeItem>
      <ddeItem name="AI[27].isCorrect" advise="1">
        <values>
          <value>
            <val>0</val>
          </value>
        </values>
      </ddeItem>
      <ddeItem name="AI[27].isCut" advise="1"/>
      <ddeItem name="AI[27].isForce" advise="1">
        <values>
          <value>
            <val>0</val>
          </value>
        </values>
      </ddeItem>
      <ddeItem name="AI[27].isInvScale" advise="1">
        <values>
          <value>
            <val>0</val>
          </value>
        </values>
      </ddeItem>
      <ddeItem name="AI[27].L.EN" advise="1">
        <values>
          <value>
            <val>0</val>
          </value>
        </values>
      </ddeItem>
      <ddeItem name="AI[27].L.fix" advise="1">
        <values>
          <value>
            <val>0</val>
          </value>
        </values>
      </ddeItem>
      <ddeItem name="AI[27].L.V" advise="1">
        <values>
          <value>
            <val>0</val>
          </value>
        </values>
      </ddeItem>
      <ddeItem name="AI[27].LL.EN" advise="1">
        <values>
          <value>
            <val>0</val>
          </value>
        </values>
      </ddeItem>
      <ddeItem name="AI[27].LL.fix" advise="1">
        <values>
          <value>
            <val>0</val>
          </value>
        </values>
      </ddeItem>
      <ddeItem name="AI[27].LL.V" advise="1">
        <values>
          <value>
            <val>0</val>
          </value>
        </values>
      </ddeItem>
      <ddeItem name="AI[27].RH.EN" advise="1">
        <values>
          <value>
            <val>1</val>
          </value>
        </values>
      </ddeItem>
      <ddeItem name="AI[27].RH.fix" advise="1">
        <values>
          <value>
            <val>0</val>
          </value>
        </values>
      </ddeItem>
      <ddeItem name="AI[27].RH.V" advise="1">
        <values>
          <value>
            <val>170</val>
          </value>
        </values>
      </ddeItem>
      <ddeItem name="AI[27].RL.EN" advise="1">
        <values>
          <value>
            <val>1</val>
          </value>
        </values>
      </ddeItem>
      <ddeItem name="AI[27].RL.fix" advise="1">
        <values>
          <value>
            <val>0</val>
          </value>
        </values>
      </ddeItem>
      <ddeItem name="AI[27].RL.V" advise="1">
        <values>
          <value>
            <val>160</val>
          </value>
        </values>
      </ddeItem>
      <ddeItem name="AI[27].state" advise="1">
        <values>
          <value>
            <val>4</val>
          </value>
        </values>
      </ddeItem>
      <ddeItem name="AI[27].v" advise="1">
        <values>
          <value>
            <val>0</val>
          </value>
        </values>
      </ddeItem>
      <ddeItem name="AI[27].vCorrect" advise="1"/>
      <ddeItem name="AI[27].vCut" advise="1"/>
      <ddeItem name="AI[27].vRaw" advise="1"/>
      <ddeItem name="AI[27].ZH" advise="1">
        <values>
          <value>
            <val>300</val>
          </value>
        </values>
      </ddeItem>
      <ddeItem name="AI[27].ZL" advise="1">
        <values>
          <value>
            <val>0</val>
          </value>
        </values>
      </ddeItem>
      <ddeItem name="AI[28].break.sgn" advise="1">
        <values>
          <value>
            <val>1</val>
          </value>
        </values>
      </ddeItem>
      <ddeItem name="AI[28].EN" advise="1">
        <values>
          <value>
            <val>1</val>
          </value>
        </values>
      </ddeItem>
      <ddeItem name="AI[28].group" advise="1">
        <values>
          <value>
            <val>1</val>
          </value>
        </values>
      </ddeItem>
      <ddeItem name="AI[28].H.EN" advise="1">
        <values>
          <value>
            <val>0</val>
          </value>
        </values>
      </ddeItem>
      <ddeItem name="AI[28].H.fix" advise="1">
        <values>
          <value>
            <val>0</val>
          </value>
        </values>
      </ddeItem>
      <ddeItem name="AI[28].H.V" advise="1">
        <values>
          <value>
            <val>0</val>
          </value>
        </values>
      </ddeItem>
      <ddeItem name="AI[28].HH.EN" advise="1">
        <values>
          <value>
            <val>0</val>
          </value>
        </values>
      </ddeItem>
      <ddeItem name="AI[28].HH.fix" advise="1">
        <values>
          <value>
            <val>0</val>
          </value>
        </values>
      </ddeItem>
      <ddeItem name="AI[28].HH.V" advise="1">
        <values>
          <value>
            <val>0</val>
          </value>
        </values>
      </ddeItem>
      <ddeItem name="AI[28].i" advise="1">
        <values>
          <value>
            <val>2.5129319999999998E-3</val>
          </value>
        </values>
      </ddeItem>
      <ddeItem name="AI[28].isCorrect" advise="1">
        <values>
          <value>
            <val>0</val>
          </value>
        </values>
      </ddeItem>
      <ddeItem name="AI[28].isCut" advise="1"/>
      <ddeItem name="AI[28].isForce" advise="1">
        <values>
          <value>
            <val>0</val>
          </value>
        </values>
      </ddeItem>
      <ddeItem name="AI[28].isInvScale" advise="1">
        <values>
          <value>
            <val>0</val>
          </value>
        </values>
      </ddeItem>
      <ddeItem name="AI[28].L.EN" advise="1">
        <values>
          <value>
            <val>0</val>
          </value>
        </values>
      </ddeItem>
      <ddeItem name="AI[28].L.fix" advise="1">
        <values>
          <value>
            <val>0</val>
          </value>
        </values>
      </ddeItem>
      <ddeItem name="AI[28].L.V" advise="1">
        <values>
          <value>
            <val>0</val>
          </value>
        </values>
      </ddeItem>
      <ddeItem name="AI[28].LL.EN" advise="1">
        <values>
          <value>
            <val>0</val>
          </value>
        </values>
      </ddeItem>
      <ddeItem name="AI[28].LL.fix" advise="1">
        <values>
          <value>
            <val>0</val>
          </value>
        </values>
      </ddeItem>
      <ddeItem name="AI[28].LL.V" advise="1">
        <values>
          <value>
            <val>0</val>
          </value>
        </values>
      </ddeItem>
      <ddeItem name="AI[28].RH.EN" advise="1">
        <values>
          <value>
            <val>1</val>
          </value>
        </values>
      </ddeItem>
      <ddeItem name="AI[28].RH.fix" advise="1">
        <values>
          <value>
            <val>0</val>
          </value>
        </values>
      </ddeItem>
      <ddeItem name="AI[28].RH.V" advise="1">
        <values>
          <value>
            <val>240</val>
          </value>
        </values>
      </ddeItem>
      <ddeItem name="AI[28].RL.EN" advise="1">
        <values>
          <value>
            <val>1</val>
          </value>
        </values>
      </ddeItem>
      <ddeItem name="AI[28].RL.fix" advise="1">
        <values>
          <value>
            <val>0</val>
          </value>
        </values>
      </ddeItem>
      <ddeItem name="AI[28].RL.V" advise="1">
        <values>
          <value>
            <val>0</val>
          </value>
        </values>
      </ddeItem>
      <ddeItem name="AI[28].state" advise="1">
        <values>
          <value>
            <val>4</val>
          </value>
        </values>
      </ddeItem>
      <ddeItem name="AI[28].v" advise="1">
        <values>
          <value>
            <val>0</val>
          </value>
        </values>
      </ddeItem>
      <ddeItem name="AI[28].vCorrect" advise="1"/>
      <ddeItem name="AI[28].vCut" advise="1"/>
      <ddeItem name="AI[28].vRaw" advise="1"/>
      <ddeItem name="AI[28].ZH" advise="1">
        <values>
          <value>
            <val>300</val>
          </value>
        </values>
      </ddeItem>
      <ddeItem name="AI[28].ZL" advise="1">
        <values>
          <value>
            <val>0</val>
          </value>
        </values>
      </ddeItem>
      <ddeItem name="AI[29].break.sgn" advise="1">
        <values>
          <value>
            <val>0</val>
          </value>
        </values>
      </ddeItem>
      <ddeItem name="AI[29].EN" advise="1">
        <values>
          <value>
            <val>0</val>
          </value>
        </values>
      </ddeItem>
      <ddeItem name="AI[29].group" advise="1">
        <values>
          <value>
            <val>3</val>
          </value>
        </values>
      </ddeItem>
      <ddeItem name="AI[29].H.EN" advise="1">
        <values>
          <value>
            <val>0</val>
          </value>
        </values>
      </ddeItem>
      <ddeItem name="AI[29].H.fix" advise="1">
        <values>
          <value>
            <val>0</val>
          </value>
        </values>
      </ddeItem>
      <ddeItem name="AI[29].H.V" advise="1">
        <values>
          <value>
            <val>0</val>
          </value>
        </values>
      </ddeItem>
      <ddeItem name="AI[29].HH.EN" advise="1">
        <values>
          <value>
            <val>0</val>
          </value>
        </values>
      </ddeItem>
      <ddeItem name="AI[29].HH.fix" advise="1">
        <values>
          <value>
            <val>0</val>
          </value>
        </values>
      </ddeItem>
      <ddeItem name="AI[29].HH.V" advise="1">
        <values>
          <value>
            <val>0</val>
          </value>
        </values>
      </ddeItem>
      <ddeItem name="AI[29].i" advise="1">
        <values>
          <value>
            <val>0</val>
          </value>
        </values>
      </ddeItem>
      <ddeItem name="AI[29].isCorrect" advise="1">
        <values>
          <value>
            <val>0</val>
          </value>
        </values>
      </ddeItem>
      <ddeItem name="AI[29].isCut" advise="1"/>
      <ddeItem name="AI[29].isForce" advise="1">
        <values>
          <value>
            <val>0</val>
          </value>
        </values>
      </ddeItem>
      <ddeItem name="AI[29].isInvScale" advise="1">
        <values>
          <value>
            <val>0</val>
          </value>
        </values>
      </ddeItem>
      <ddeItem name="AI[29].L.EN" advise="1">
        <values>
          <value>
            <val>0</val>
          </value>
        </values>
      </ddeItem>
      <ddeItem name="AI[29].L.fix" advise="1">
        <values>
          <value>
            <val>0</val>
          </value>
        </values>
      </ddeItem>
      <ddeItem name="AI[29].L.V" advise="1">
        <values>
          <value>
            <val>0</val>
          </value>
        </values>
      </ddeItem>
      <ddeItem name="AI[29].LL.EN" advise="1">
        <values>
          <value>
            <val>0</val>
          </value>
        </values>
      </ddeItem>
      <ddeItem name="AI[29].LL.fix" advise="1">
        <values>
          <value>
            <val>0</val>
          </value>
        </values>
      </ddeItem>
      <ddeItem name="AI[29].LL.V" advise="1">
        <values>
          <value>
            <val>0</val>
          </value>
        </values>
      </ddeItem>
      <ddeItem name="AI[29].RH.EN" advise="1">
        <values>
          <value>
            <val>0</val>
          </value>
        </values>
      </ddeItem>
      <ddeItem name="AI[29].RH.fix" advise="1">
        <values>
          <value>
            <val>0</val>
          </value>
        </values>
      </ddeItem>
      <ddeItem name="AI[29].RH.V" advise="1">
        <values>
          <value>
            <val>450</val>
          </value>
        </values>
      </ddeItem>
      <ddeItem name="AI[29].RL.EN" advise="1">
        <values>
          <value>
            <val>0</val>
          </value>
        </values>
      </ddeItem>
      <ddeItem name="AI[29].RL.fix" advise="1">
        <values>
          <value>
            <val>1</val>
          </value>
        </values>
      </ddeItem>
      <ddeItem name="AI[29].RL.V" advise="1">
        <values>
          <value>
            <val>250</val>
          </value>
        </values>
      </ddeItem>
      <ddeItem name="AI[29].state" advise="1">
        <values>
          <value>
            <val>4</val>
          </value>
        </values>
      </ddeItem>
      <ddeItem name="AI[29].v" advise="1">
        <values>
          <value>
            <val>0</val>
          </value>
        </values>
      </ddeItem>
      <ddeItem name="AI[29].vCorrect" advise="1"/>
      <ddeItem name="AI[29].vCut" advise="1"/>
      <ddeItem name="AI[29].vRaw" advise="1"/>
      <ddeItem name="AI[29].ZH" advise="1">
        <values>
          <value>
            <val>0</val>
          </value>
        </values>
      </ddeItem>
      <ddeItem name="AI[29].ZL" advise="1">
        <values>
          <value>
            <val>0</val>
          </value>
        </values>
      </ddeItem>
      <ddeItem name="AI[3].break.sgn" advise="1">
        <values>
          <value>
            <val>0</val>
          </value>
        </values>
      </ddeItem>
      <ddeItem name="AI[3].EN" advise="1">
        <values>
          <value>
            <val>1</val>
          </value>
        </values>
      </ddeItem>
      <ddeItem name="AI[3].group" advise="1">
        <values>
          <value>
            <val>1</val>
          </value>
        </values>
      </ddeItem>
      <ddeItem name="AI[3].H.EN" advise="1">
        <values>
          <value>
            <val>1</val>
          </value>
        </values>
      </ddeItem>
      <ddeItem name="AI[3].H.fix" advise="1">
        <values>
          <value>
            <val>0</val>
          </value>
        </values>
      </ddeItem>
      <ddeItem name="AI[3].H.V" advise="1">
        <values>
          <value>
            <val>55</val>
          </value>
        </values>
      </ddeItem>
      <ddeItem name="AI[3].HH.EN" advise="1">
        <values>
          <value>
            <val>0</val>
          </value>
        </values>
      </ddeItem>
      <ddeItem name="AI[3].HH.fix" advise="1">
        <values>
          <value>
            <val>0</val>
          </value>
        </values>
      </ddeItem>
      <ddeItem name="AI[3].HH.V" advise="1">
        <values>
          <value>
            <val>0</val>
          </value>
        </values>
      </ddeItem>
      <ddeItem name="AI[3].i" advise="1">
        <values>
          <value>
            <val>4.0180889999999998</val>
          </value>
        </values>
      </ddeItem>
      <ddeItem name="AI[3].isCorrect" advise="1">
        <values>
          <value>
            <val>0</val>
          </value>
        </values>
      </ddeItem>
      <ddeItem name="AI[3].isCut" advise="1"/>
      <ddeItem name="AI[3].isForce" advise="1">
        <values>
          <value>
            <val>0</val>
          </value>
        </values>
      </ddeItem>
      <ddeItem name="AI[3].isInvScale" advise="1">
        <values>
          <value>
            <val>0</val>
          </value>
        </values>
      </ddeItem>
      <ddeItem name="AI[3].L.EN" advise="1">
        <values>
          <value>
            <val>1</val>
          </value>
        </values>
      </ddeItem>
      <ddeItem name="AI[3].L.fix" advise="1">
        <values>
          <value>
            <val>1</val>
          </value>
        </values>
      </ddeItem>
      <ddeItem name="AI[3].L.V" advise="1">
        <values>
          <value>
            <val>10</val>
          </value>
        </values>
      </ddeItem>
      <ddeItem name="AI[3].LL.EN" advise="1">
        <values>
          <value>
            <val>0</val>
          </value>
        </values>
      </ddeItem>
      <ddeItem name="AI[3].LL.fix" advise="1">
        <values>
          <value>
            <val>0</val>
          </value>
        </values>
      </ddeItem>
      <ddeItem name="AI[3].LL.V" advise="1">
        <values>
          <value>
            <val>0</val>
          </value>
        </values>
      </ddeItem>
      <ddeItem name="AI[3].RH.EN" advise="1">
        <values>
          <value>
            <val>1</val>
          </value>
        </values>
      </ddeItem>
      <ddeItem name="AI[3].RH.fix" advise="1">
        <values>
          <value>
            <val>0</val>
          </value>
        </values>
      </ddeItem>
      <ddeItem name="AI[3].RH.V" advise="1">
        <values>
          <value>
            <val>40</val>
          </value>
        </values>
      </ddeItem>
      <ddeItem name="AI[3].RL.EN" advise="1">
        <values>
          <value>
            <val>1</val>
          </value>
        </values>
      </ddeItem>
      <ddeItem name="AI[3].RL.fix" advise="1">
        <values>
          <value>
            <val>1</val>
          </value>
        </values>
      </ddeItem>
      <ddeItem name="AI[3].RL.V" advise="1">
        <values>
          <value>
            <val>15</val>
          </value>
        </values>
      </ddeItem>
      <ddeItem name="AI[3].state" advise="1">
        <values>
          <value>
            <val>2</val>
          </value>
        </values>
      </ddeItem>
      <ddeItem name="AI[3].v" advise="1">
        <values>
          <value>
            <val>0</val>
          </value>
        </values>
      </ddeItem>
      <ddeItem name="AI[3].vCorrect" advise="1"/>
      <ddeItem name="AI[3].vCut" advise="1"/>
      <ddeItem name="AI[3].vRaw" advise="1"/>
      <ddeItem name="AI[3].ZH" advise="1">
        <values>
          <value>
            <val>100</val>
          </value>
        </values>
      </ddeItem>
      <ddeItem name="AI[3].ZL" advise="1">
        <values>
          <value>
            <val>0</val>
          </value>
        </values>
      </ddeItem>
      <ddeItem name="AI[30].break.sgn" advise="1">
        <values>
          <value>
            <val>0</val>
          </value>
        </values>
      </ddeItem>
      <ddeItem name="AI[30].EN" advise="1">
        <values>
          <value>
            <val>0</val>
          </value>
        </values>
      </ddeItem>
      <ddeItem name="AI[30].group" advise="1">
        <values>
          <value>
            <val>3</val>
          </value>
        </values>
      </ddeItem>
      <ddeItem name="AI[30].H.EN" advise="1">
        <values>
          <value>
            <val>0</val>
          </value>
        </values>
      </ddeItem>
      <ddeItem name="AI[30].H.fix" advise="1">
        <values>
          <value>
            <val>0</val>
          </value>
        </values>
      </ddeItem>
      <ddeItem name="AI[30].H.V" advise="1">
        <values>
          <value>
            <val>0</val>
          </value>
        </values>
      </ddeItem>
      <ddeItem name="AI[30].HH.EN" advise="1">
        <values>
          <value>
            <val>0</val>
          </value>
        </values>
      </ddeItem>
      <ddeItem name="AI[30].HH.fix" advise="1">
        <values>
          <value>
            <val>0</val>
          </value>
        </values>
      </ddeItem>
      <ddeItem name="AI[30].HH.V" advise="1">
        <values>
          <value>
            <val>0</val>
          </value>
        </values>
      </ddeItem>
      <ddeItem name="AI[30].i" advise="1">
        <values>
          <value>
            <val>0</val>
          </value>
        </values>
      </ddeItem>
      <ddeItem name="AI[30].isCorrect" advise="1">
        <values>
          <value>
            <val>0</val>
          </value>
        </values>
      </ddeItem>
      <ddeItem name="AI[30].isCut" advise="1"/>
      <ddeItem name="AI[30].isForce" advise="1">
        <values>
          <value>
            <val>0</val>
          </value>
        </values>
      </ddeItem>
      <ddeItem name="AI[30].isInvScale" advise="1">
        <values>
          <value>
            <val>0</val>
          </value>
        </values>
      </ddeItem>
      <ddeItem name="AI[30].L.EN" advise="1">
        <values>
          <value>
            <val>0</val>
          </value>
        </values>
      </ddeItem>
      <ddeItem name="AI[30].L.fix" advise="1">
        <values>
          <value>
            <val>0</val>
          </value>
        </values>
      </ddeItem>
      <ddeItem name="AI[30].L.V" advise="1">
        <values>
          <value>
            <val>0</val>
          </value>
        </values>
      </ddeItem>
      <ddeItem name="AI[30].LL.EN" advise="1">
        <values>
          <value>
            <val>0</val>
          </value>
        </values>
      </ddeItem>
      <ddeItem name="AI[30].LL.fix" advise="1">
        <values>
          <value>
            <val>0</val>
          </value>
        </values>
      </ddeItem>
      <ddeItem name="AI[30].LL.V" advise="1">
        <values>
          <value>
            <val>0</val>
          </value>
        </values>
      </ddeItem>
      <ddeItem name="AI[30].RH.EN" advise="1">
        <values>
          <value>
            <val>0</val>
          </value>
        </values>
      </ddeItem>
      <ddeItem name="AI[30].RH.fix" advise="1">
        <values>
          <value>
            <val>0</val>
          </value>
        </values>
      </ddeItem>
      <ddeItem name="AI[30].RH.V" advise="1">
        <values>
          <value>
            <val>0</val>
          </value>
        </values>
      </ddeItem>
      <ddeItem name="AI[30].RL.EN" advise="1">
        <values>
          <value>
            <val>0</val>
          </value>
        </values>
      </ddeItem>
      <ddeItem name="AI[30].RL.fix" advise="1">
        <values>
          <value>
            <val>1</val>
          </value>
        </values>
      </ddeItem>
      <ddeItem name="AI[30].RL.V" advise="1">
        <values>
          <value>
            <val>0</val>
          </value>
        </values>
      </ddeItem>
      <ddeItem name="AI[30].state" advise="1">
        <values>
          <value>
            <val>4</val>
          </value>
        </values>
      </ddeItem>
      <ddeItem name="AI[30].v" advise="1">
        <values>
          <value>
            <val>0</val>
          </value>
        </values>
      </ddeItem>
      <ddeItem name="AI[30].vCorrect" advise="1"/>
      <ddeItem name="AI[30].vCut" advise="1"/>
      <ddeItem name="AI[30].vRaw" advise="1"/>
      <ddeItem name="AI[30].ZH" advise="1">
        <values>
          <value>
            <val>0</val>
          </value>
        </values>
      </ddeItem>
      <ddeItem name="AI[30].ZL" advise="1">
        <values>
          <value>
            <val>0</val>
          </value>
        </values>
      </ddeItem>
      <ddeItem name="AI[31].break.sgn" advise="1">
        <values>
          <value>
            <val>0</val>
          </value>
        </values>
      </ddeItem>
      <ddeItem name="AI[31].EN" advise="1">
        <values>
          <value>
            <val>0</val>
          </value>
        </values>
      </ddeItem>
      <ddeItem name="AI[31].group" advise="1">
        <values>
          <value>
            <val>3</val>
          </value>
        </values>
      </ddeItem>
      <ddeItem name="AI[31].H.EN" advise="1">
        <values>
          <value>
            <val>0</val>
          </value>
        </values>
      </ddeItem>
      <ddeItem name="AI[31].H.fix" advise="1">
        <values>
          <value>
            <val>0</val>
          </value>
        </values>
      </ddeItem>
      <ddeItem name="AI[31].H.V" advise="1">
        <values>
          <value>
            <val>0</val>
          </value>
        </values>
      </ddeItem>
      <ddeItem name="AI[31].HH.EN" advise="1">
        <values>
          <value>
            <val>0</val>
          </value>
        </values>
      </ddeItem>
      <ddeItem name="AI[31].HH.fix" advise="1">
        <values>
          <value>
            <val>0</val>
          </value>
        </values>
      </ddeItem>
      <ddeItem name="AI[31].HH.V" advise="1">
        <values>
          <value>
            <val>0</val>
          </value>
        </values>
      </ddeItem>
      <ddeItem name="AI[31].i" advise="1">
        <values>
          <value>
            <val>0</val>
          </value>
        </values>
      </ddeItem>
      <ddeItem name="AI[31].isCorrect" advise="1">
        <values>
          <value>
            <val>0</val>
          </value>
        </values>
      </ddeItem>
      <ddeItem name="AI[31].isCut" advise="1"/>
      <ddeItem name="AI[31].isForce" advise="1">
        <values>
          <value>
            <val>0</val>
          </value>
        </values>
      </ddeItem>
      <ddeItem name="AI[31].isInvScale" advise="1">
        <values>
          <value>
            <val>0</val>
          </value>
        </values>
      </ddeItem>
      <ddeItem name="AI[31].L.EN" advise="1">
        <values>
          <value>
            <val>0</val>
          </value>
        </values>
      </ddeItem>
      <ddeItem name="AI[31].L.fix" advise="1">
        <values>
          <value>
            <val>0</val>
          </value>
        </values>
      </ddeItem>
      <ddeItem name="AI[31].L.V" advise="1">
        <values>
          <value>
            <val>0</val>
          </value>
        </values>
      </ddeItem>
      <ddeItem name="AI[31].LL.EN" advise="1">
        <values>
          <value>
            <val>0</val>
          </value>
        </values>
      </ddeItem>
      <ddeItem name="AI[31].LL.fix" advise="1">
        <values>
          <value>
            <val>0</val>
          </value>
        </values>
      </ddeItem>
      <ddeItem name="AI[31].LL.V" advise="1">
        <values>
          <value>
            <val>0</val>
          </value>
        </values>
      </ddeItem>
      <ddeItem name="AI[31].RH.EN" advise="1">
        <values>
          <value>
            <val>0</val>
          </value>
        </values>
      </ddeItem>
      <ddeItem name="AI[31].RH.fix" advise="1">
        <values>
          <value>
            <val>0</val>
          </value>
        </values>
      </ddeItem>
      <ddeItem name="AI[31].RH.V" advise="1">
        <values>
          <value>
            <val>0</val>
          </value>
        </values>
      </ddeItem>
      <ddeItem name="AI[31].RL.EN" advise="1">
        <values>
          <value>
            <val>0</val>
          </value>
        </values>
      </ddeItem>
      <ddeItem name="AI[31].RL.fix" advise="1">
        <values>
          <value>
            <val>1</val>
          </value>
        </values>
      </ddeItem>
      <ddeItem name="AI[31].RL.V" advise="1">
        <values>
          <value>
            <val>0</val>
          </value>
        </values>
      </ddeItem>
      <ddeItem name="AI[31].state" advise="1">
        <values>
          <value>
            <val>4</val>
          </value>
        </values>
      </ddeItem>
      <ddeItem name="AI[31].v" advise="1">
        <values>
          <value>
            <val>0</val>
          </value>
        </values>
      </ddeItem>
      <ddeItem name="AI[31].vCorrect" advise="1"/>
      <ddeItem name="AI[31].vCut" advise="1"/>
      <ddeItem name="AI[31].vRaw" advise="1"/>
      <ddeItem name="AI[31].ZH" advise="1">
        <values>
          <value>
            <val>0</val>
          </value>
        </values>
      </ddeItem>
      <ddeItem name="AI[31].ZL" advise="1">
        <values>
          <value>
            <val>0</val>
          </value>
        </values>
      </ddeItem>
      <ddeItem name="AI[32].break.sgn" advise="1">
        <values>
          <value>
            <val>1</val>
          </value>
        </values>
      </ddeItem>
      <ddeItem name="AI[32].EN" advise="1">
        <values>
          <value>
            <val>1</val>
          </value>
        </values>
      </ddeItem>
      <ddeItem name="AI[32].group" advise="1">
        <values>
          <value>
            <val>1</val>
          </value>
        </values>
      </ddeItem>
      <ddeItem name="AI[32].H.EN" advise="1">
        <values>
          <value>
            <val>0</val>
          </value>
        </values>
      </ddeItem>
      <ddeItem name="AI[32].H.fix" advise="1">
        <values>
          <value>
            <val>0</val>
          </value>
        </values>
      </ddeItem>
      <ddeItem name="AI[32].H.V" advise="1">
        <values>
          <value>
            <val>0</val>
          </value>
        </values>
      </ddeItem>
      <ddeItem name="AI[32].HH.EN" advise="1">
        <values>
          <value>
            <val>0</val>
          </value>
        </values>
      </ddeItem>
      <ddeItem name="AI[32].HH.fix" advise="1">
        <values>
          <value>
            <val>0</val>
          </value>
        </values>
      </ddeItem>
      <ddeItem name="AI[32].HH.V" advise="1">
        <values>
          <value>
            <val>0</val>
          </value>
        </values>
      </ddeItem>
      <ddeItem name="AI[32].i" advise="1">
        <values>
          <value>
            <val>3.7689210000000002E-3</val>
          </value>
        </values>
      </ddeItem>
      <ddeItem name="AI[32].isCorrect" advise="1">
        <values>
          <value>
            <val>0</val>
          </value>
        </values>
      </ddeItem>
      <ddeItem name="AI[32].isCut" advise="1"/>
      <ddeItem name="AI[32].isForce" advise="1">
        <values>
          <value>
            <val>0</val>
          </value>
        </values>
      </ddeItem>
      <ddeItem name="AI[32].isInvScale" advise="1">
        <values>
          <value>
            <val>0</val>
          </value>
        </values>
      </ddeItem>
      <ddeItem name="AI[32].L.EN" advise="1">
        <values>
          <value>
            <val>0</val>
          </value>
        </values>
      </ddeItem>
      <ddeItem name="AI[32].L.fix" advise="1">
        <values>
          <value>
            <val>0</val>
          </value>
        </values>
      </ddeItem>
      <ddeItem name="AI[32].L.V" advise="1">
        <values>
          <value>
            <val>0</val>
          </value>
        </values>
      </ddeItem>
      <ddeItem name="AI[32].LL.EN" advise="1">
        <values>
          <value>
            <val>0</val>
          </value>
        </values>
      </ddeItem>
      <ddeItem name="AI[32].LL.fix" advise="1">
        <values>
          <value>
            <val>0</val>
          </value>
        </values>
      </ddeItem>
      <ddeItem name="AI[32].LL.V" advise="1">
        <values>
          <value>
            <val>0</val>
          </value>
        </values>
      </ddeItem>
      <ddeItem name="AI[32].RH.EN" advise="1">
        <values>
          <value>
            <val>1</val>
          </value>
        </values>
      </ddeItem>
      <ddeItem name="AI[32].RH.fix" advise="1">
        <values>
          <value>
            <val>0</val>
          </value>
        </values>
      </ddeItem>
      <ddeItem name="AI[32].RH.V" advise="1">
        <values>
          <value>
            <val>280</val>
          </value>
        </values>
      </ddeItem>
      <ddeItem name="AI[32].RL.EN" advise="1">
        <values>
          <value>
            <val>1</val>
          </value>
        </values>
      </ddeItem>
      <ddeItem name="AI[32].RL.fix" advise="1">
        <values>
          <value>
            <val>0</val>
          </value>
        </values>
      </ddeItem>
      <ddeItem name="AI[32].RL.V" advise="1">
        <values>
          <value>
            <val>130</val>
          </value>
        </values>
      </ddeItem>
      <ddeItem name="AI[32].state" advise="1">
        <values>
          <value>
            <val>4</val>
          </value>
        </values>
      </ddeItem>
      <ddeItem name="AI[32].v" advise="1">
        <values>
          <value>
            <val>0</val>
          </value>
        </values>
      </ddeItem>
      <ddeItem name="AI[32].vCorrect" advise="1"/>
      <ddeItem name="AI[32].vCut" advise="1"/>
      <ddeItem name="AI[32].vRaw" advise="1"/>
      <ddeItem name="AI[32].ZH" advise="1">
        <values>
          <value>
            <val>300</val>
          </value>
        </values>
      </ddeItem>
      <ddeItem name="AI[32].ZL" advise="1">
        <values>
          <value>
            <val>0</val>
          </value>
        </values>
      </ddeItem>
      <ddeItem name="AI[33].break.sgn" advise="1">
        <values>
          <value>
            <val>1</val>
          </value>
        </values>
      </ddeItem>
      <ddeItem name="AI[33].EN" advise="1">
        <values>
          <value>
            <val>1</val>
          </value>
        </values>
      </ddeItem>
      <ddeItem name="AI[33].group" advise="1">
        <values>
          <value>
            <val>1</val>
          </value>
        </values>
      </ddeItem>
      <ddeItem name="AI[33].H.EN" advise="1">
        <values>
          <value>
            <val>0</val>
          </value>
        </values>
      </ddeItem>
      <ddeItem name="AI[33].H.fix" advise="1">
        <values>
          <value>
            <val>0</val>
          </value>
        </values>
      </ddeItem>
      <ddeItem name="AI[33].H.V" advise="1">
        <values>
          <value>
            <val>0</val>
          </value>
        </values>
      </ddeItem>
      <ddeItem name="AI[33].HH.EN" advise="1">
        <values>
          <value>
            <val>0</val>
          </value>
        </values>
      </ddeItem>
      <ddeItem name="AI[33].HH.fix" advise="1">
        <values>
          <value>
            <val>0</val>
          </value>
        </values>
      </ddeItem>
      <ddeItem name="AI[33].HH.V" advise="1">
        <values>
          <value>
            <val>0</val>
          </value>
        </values>
      </ddeItem>
      <ddeItem name="AI[33].i" advise="1">
        <values>
          <value>
            <val>3.7689210000000002E-3</val>
          </value>
        </values>
      </ddeItem>
      <ddeItem name="AI[33].isCorrect" advise="1">
        <values>
          <value>
            <val>0</val>
          </value>
        </values>
      </ddeItem>
      <ddeItem name="AI[33].isCut" advise="1"/>
      <ddeItem name="AI[33].isForce" advise="1">
        <values>
          <value>
            <val>0</val>
          </value>
        </values>
      </ddeItem>
      <ddeItem name="AI[33].isInvScale" advise="1">
        <values>
          <value>
            <val>0</val>
          </value>
        </values>
      </ddeItem>
      <ddeItem name="AI[33].L.EN" advise="1">
        <values>
          <value>
            <val>0</val>
          </value>
        </values>
      </ddeItem>
      <ddeItem name="AI[33].L.fix" advise="1">
        <values>
          <value>
            <val>0</val>
          </value>
        </values>
      </ddeItem>
      <ddeItem name="AI[33].L.V" advise="1">
        <values>
          <value>
            <val>0</val>
          </value>
        </values>
      </ddeItem>
      <ddeItem name="AI[33].LL.EN" advise="1">
        <values>
          <value>
            <val>0</val>
          </value>
        </values>
      </ddeItem>
      <ddeItem name="AI[33].LL.fix" advise="1">
        <values>
          <value>
            <val>0</val>
          </value>
        </values>
      </ddeItem>
      <ddeItem name="AI[33].LL.V" advise="1">
        <values>
          <value>
            <val>0</val>
          </value>
        </values>
      </ddeItem>
      <ddeItem name="AI[33].RH.EN" advise="1">
        <values>
          <value>
            <val>1</val>
          </value>
        </values>
      </ddeItem>
      <ddeItem name="AI[33].RH.fix" advise="1">
        <values>
          <value>
            <val>0</val>
          </value>
        </values>
      </ddeItem>
      <ddeItem name="AI[33].RH.V" advise="1">
        <values>
          <value>
            <val>270</val>
          </value>
        </values>
      </ddeItem>
      <ddeItem name="AI[33].RL.EN" advise="1">
        <values>
          <value>
            <val>1</val>
          </value>
        </values>
      </ddeItem>
      <ddeItem name="AI[33].RL.fix" advise="1">
        <values>
          <value>
            <val>0</val>
          </value>
        </values>
      </ddeItem>
      <ddeItem name="AI[33].RL.V" advise="1">
        <values>
          <value>
            <val>130</val>
          </value>
        </values>
      </ddeItem>
      <ddeItem name="AI[33].state" advise="1">
        <values>
          <value>
            <val>4</val>
          </value>
        </values>
      </ddeItem>
      <ddeItem name="AI[33].v" advise="1">
        <values>
          <value>
            <val>0</val>
          </value>
        </values>
      </ddeItem>
      <ddeItem name="AI[33].vCorrect" advise="1"/>
      <ddeItem name="AI[33].vCut" advise="1"/>
      <ddeItem name="AI[33].vRaw" advise="1"/>
      <ddeItem name="AI[33].ZH" advise="1">
        <values>
          <value>
            <val>300</val>
          </value>
        </values>
      </ddeItem>
      <ddeItem name="AI[33].ZL" advise="1">
        <values>
          <value>
            <val>0</val>
          </value>
        </values>
      </ddeItem>
      <ddeItem name="AI[34].break.sgn" advise="1">
        <values>
          <value>
            <val>1</val>
          </value>
        </values>
      </ddeItem>
      <ddeItem name="AI[34].EN" advise="1">
        <values>
          <value>
            <val>1</val>
          </value>
        </values>
      </ddeItem>
      <ddeItem name="AI[34].group" advise="1">
        <values>
          <value>
            <val>1</val>
          </value>
        </values>
      </ddeItem>
      <ddeItem name="AI[34].H.EN" advise="1">
        <values>
          <value>
            <val>0</val>
          </value>
        </values>
      </ddeItem>
      <ddeItem name="AI[34].H.fix" advise="1">
        <values>
          <value>
            <val>0</val>
          </value>
        </values>
      </ddeItem>
      <ddeItem name="AI[34].H.V" advise="1">
        <values>
          <value>
            <val>0</val>
          </value>
        </values>
      </ddeItem>
      <ddeItem name="AI[34].HH.EN" advise="1">
        <values>
          <value>
            <val>0</val>
          </value>
        </values>
      </ddeItem>
      <ddeItem name="AI[34].HH.fix" advise="1">
        <values>
          <value>
            <val>0</val>
          </value>
        </values>
      </ddeItem>
      <ddeItem name="AI[34].HH.V" advise="1">
        <values>
          <value>
            <val>0</val>
          </value>
        </values>
      </ddeItem>
      <ddeItem name="AI[34].i" advise="1">
        <values>
          <value>
            <val>3.7689210000000002E-3</val>
          </value>
        </values>
      </ddeItem>
      <ddeItem name="AI[34].isCorrect" advise="1">
        <values>
          <value>
            <val>0</val>
          </value>
        </values>
      </ddeItem>
      <ddeItem name="AI[34].isCut" advise="1"/>
      <ddeItem name="AI[34].isForce" advise="1">
        <values>
          <value>
            <val>0</val>
          </value>
        </values>
      </ddeItem>
      <ddeItem name="AI[34].isInvScale" advise="1">
        <values>
          <value>
            <val>0</val>
          </value>
        </values>
      </ddeItem>
      <ddeItem name="AI[34].L.EN" advise="1">
        <values>
          <value>
            <val>0</val>
          </value>
        </values>
      </ddeItem>
      <ddeItem name="AI[34].L.fix" advise="1">
        <values>
          <value>
            <val>0</val>
          </value>
        </values>
      </ddeItem>
      <ddeItem name="AI[34].L.V" advise="1">
        <values>
          <value>
            <val>0</val>
          </value>
        </values>
      </ddeItem>
      <ddeItem name="AI[34].LL.EN" advise="1">
        <values>
          <value>
            <val>0</val>
          </value>
        </values>
      </ddeItem>
      <ddeItem name="AI[34].LL.fix" advise="1">
        <values>
          <value>
            <val>0</val>
          </value>
        </values>
      </ddeItem>
      <ddeItem name="AI[34].LL.V" advise="1">
        <values>
          <value>
            <val>0</val>
          </value>
        </values>
      </ddeItem>
      <ddeItem name="AI[34].RH.EN" advise="1">
        <values>
          <value>
            <val>1</val>
          </value>
        </values>
      </ddeItem>
      <ddeItem name="AI[34].RH.fix" advise="1">
        <values>
          <value>
            <val>0</val>
          </value>
        </values>
      </ddeItem>
      <ddeItem name="AI[34].RH.V" advise="1">
        <values>
          <value>
            <val>270</val>
          </value>
        </values>
      </ddeItem>
      <ddeItem name="AI[34].RL.EN" advise="1">
        <values>
          <value>
            <val>1</val>
          </value>
        </values>
      </ddeItem>
      <ddeItem name="AI[34].RL.fix" advise="1">
        <values>
          <value>
            <val>0</val>
          </value>
        </values>
      </ddeItem>
      <ddeItem name="AI[34].RL.V" advise="1">
        <values>
          <value>
            <val>130</val>
          </value>
        </values>
      </ddeItem>
      <ddeItem name="AI[34].state" advise="1">
        <values>
          <value>
            <val>4</val>
          </value>
        </values>
      </ddeItem>
      <ddeItem name="AI[34].v" advise="1">
        <values>
          <value>
            <val>0</val>
          </value>
        </values>
      </ddeItem>
      <ddeItem name="AI[34].vCorrect" advise="1"/>
      <ddeItem name="AI[34].vCut" advise="1"/>
      <ddeItem name="AI[34].vRaw" advise="1"/>
      <ddeItem name="AI[34].ZH" advise="1">
        <values>
          <value>
            <val>300</val>
          </value>
        </values>
      </ddeItem>
      <ddeItem name="AI[34].ZL" advise="1">
        <values>
          <value>
            <val>0</val>
          </value>
        </values>
      </ddeItem>
      <ddeItem name="AI[35].break.sgn" advise="1">
        <values>
          <value>
            <val>1</val>
          </value>
        </values>
      </ddeItem>
      <ddeItem name="AI[35].EN" advise="1">
        <values>
          <value>
            <val>1</val>
          </value>
        </values>
      </ddeItem>
      <ddeItem name="AI[35].group" advise="1">
        <values>
          <value>
            <val>1</val>
          </value>
        </values>
      </ddeItem>
      <ddeItem name="AI[35].H.EN" advise="1">
        <values>
          <value>
            <val>0</val>
          </value>
        </values>
      </ddeItem>
      <ddeItem name="AI[35].H.fix" advise="1">
        <values>
          <value>
            <val>0</val>
          </value>
        </values>
      </ddeItem>
      <ddeItem name="AI[35].H.V" advise="1">
        <values>
          <value>
            <val>0</val>
          </value>
        </values>
      </ddeItem>
      <ddeItem name="AI[35].HH.EN" advise="1">
        <values>
          <value>
            <val>0</val>
          </value>
        </values>
      </ddeItem>
      <ddeItem name="AI[35].HH.fix" advise="1">
        <values>
          <value>
            <val>0</val>
          </value>
        </values>
      </ddeItem>
      <ddeItem name="AI[35].HH.V" advise="1">
        <values>
          <value>
            <val>0</val>
          </value>
        </values>
      </ddeItem>
      <ddeItem name="AI[35].i" advise="1">
        <values>
          <value>
            <val>3.7689210000000002E-3</val>
          </value>
        </values>
      </ddeItem>
      <ddeItem name="AI[35].isCorrect" advise="1">
        <values>
          <value>
            <val>0</val>
          </value>
        </values>
      </ddeItem>
      <ddeItem name="AI[35].isCut" advise="1"/>
      <ddeItem name="AI[35].isForce" advise="1">
        <values>
          <value>
            <val>0</val>
          </value>
        </values>
      </ddeItem>
      <ddeItem name="AI[35].isInvScale" advise="1">
        <values>
          <value>
            <val>0</val>
          </value>
        </values>
      </ddeItem>
      <ddeItem name="AI[35].L.EN" advise="1">
        <values>
          <value>
            <val>0</val>
          </value>
        </values>
      </ddeItem>
      <ddeItem name="AI[35].L.fix" advise="1">
        <values>
          <value>
            <val>0</val>
          </value>
        </values>
      </ddeItem>
      <ddeItem name="AI[35].L.V" advise="1">
        <values>
          <value>
            <val>0</val>
          </value>
        </values>
      </ddeItem>
      <ddeItem name="AI[35].LL.EN" advise="1">
        <values>
          <value>
            <val>0</val>
          </value>
        </values>
      </ddeItem>
      <ddeItem name="AI[35].LL.fix" advise="1">
        <values>
          <value>
            <val>0</val>
          </value>
        </values>
      </ddeItem>
      <ddeItem name="AI[35].LL.V" advise="1">
        <values>
          <value>
            <val>0</val>
          </value>
        </values>
      </ddeItem>
      <ddeItem name="AI[35].RH.EN" advise="1">
        <values>
          <value>
            <val>1</val>
          </value>
        </values>
      </ddeItem>
      <ddeItem name="AI[35].RH.fix" advise="1">
        <values>
          <value>
            <val>0</val>
          </value>
        </values>
      </ddeItem>
      <ddeItem name="AI[35].RH.V" advise="1">
        <values>
          <value>
            <val>160</val>
          </value>
        </values>
      </ddeItem>
      <ddeItem name="AI[35].RL.EN" advise="1">
        <values>
          <value>
            <val>1</val>
          </value>
        </values>
      </ddeItem>
      <ddeItem name="AI[35].RL.fix" advise="1">
        <values>
          <value>
            <val>0</val>
          </value>
        </values>
      </ddeItem>
      <ddeItem name="AI[35].RL.V" advise="1">
        <values>
          <value>
            <val>40</val>
          </value>
        </values>
      </ddeItem>
      <ddeItem name="AI[35].state" advise="1">
        <values>
          <value>
            <val>4</val>
          </value>
        </values>
      </ddeItem>
      <ddeItem name="AI[35].v" advise="1">
        <values>
          <value>
            <val>0</val>
          </value>
        </values>
      </ddeItem>
      <ddeItem name="AI[35].vCorrect" advise="1"/>
      <ddeItem name="AI[35].vCut" advise="1"/>
      <ddeItem name="AI[35].vRaw" advise="1"/>
      <ddeItem name="AI[35].ZH" advise="1">
        <values>
          <value>
            <val>300</val>
          </value>
        </values>
      </ddeItem>
      <ddeItem name="AI[35].ZL" advise="1">
        <values>
          <value>
            <val>0</val>
          </value>
        </values>
      </ddeItem>
      <ddeItem name="AI[36].break.sgn" advise="1">
        <values>
          <value>
            <val>1</val>
          </value>
        </values>
      </ddeItem>
      <ddeItem name="AI[36].EN" advise="1">
        <values>
          <value>
            <val>1</val>
          </value>
        </values>
      </ddeItem>
      <ddeItem name="AI[36].group" advise="1">
        <values>
          <value>
            <val>1</val>
          </value>
        </values>
      </ddeItem>
      <ddeItem name="AI[36].H.EN" advise="1">
        <values>
          <value>
            <val>0</val>
          </value>
        </values>
      </ddeItem>
      <ddeItem name="AI[36].H.fix" advise="1">
        <values>
          <value>
            <val>0</val>
          </value>
        </values>
      </ddeItem>
      <ddeItem name="AI[36].H.V" advise="1">
        <values>
          <value>
            <val>0</val>
          </value>
        </values>
      </ddeItem>
      <ddeItem name="AI[36].HH.EN" advise="1">
        <values>
          <value>
            <val>0</val>
          </value>
        </values>
      </ddeItem>
      <ddeItem name="AI[36].HH.fix" advise="1">
        <values>
          <value>
            <val>0</val>
          </value>
        </values>
      </ddeItem>
      <ddeItem name="AI[36].HH.V" advise="1">
        <values>
          <value>
            <val>0</val>
          </value>
        </values>
      </ddeItem>
      <ddeItem name="AI[36].i" advise="1">
        <values>
          <value>
            <val>2.5129319999999998E-3</val>
          </value>
        </values>
      </ddeItem>
      <ddeItem name="AI[36].isCorrect" advise="1">
        <values>
          <value>
            <val>0</val>
          </value>
        </values>
      </ddeItem>
      <ddeItem name="AI[36].isCut" advise="1"/>
      <ddeItem name="AI[36].isForce" advise="1">
        <values>
          <value>
            <val>0</val>
          </value>
        </values>
      </ddeItem>
      <ddeItem name="AI[36].isInvScale" advise="1">
        <values>
          <value>
            <val>0</val>
          </value>
        </values>
      </ddeItem>
      <ddeItem name="AI[36].L.EN" advise="1">
        <values>
          <value>
            <val>0</val>
          </value>
        </values>
      </ddeItem>
      <ddeItem name="AI[36].L.fix" advise="1">
        <values>
          <value>
            <val>0</val>
          </value>
        </values>
      </ddeItem>
      <ddeItem name="AI[36].L.V" advise="1">
        <values>
          <value>
            <val>0</val>
          </value>
        </values>
      </ddeItem>
      <ddeItem name="AI[36].LL.EN" advise="1">
        <values>
          <value>
            <val>0</val>
          </value>
        </values>
      </ddeItem>
      <ddeItem name="AI[36].LL.fix" advise="1">
        <values>
          <value>
            <val>0</val>
          </value>
        </values>
      </ddeItem>
      <ddeItem name="AI[36].LL.V" advise="1">
        <values>
          <value>
            <val>0</val>
          </value>
        </values>
      </ddeItem>
      <ddeItem name="AI[36].RH.EN" advise="1">
        <values>
          <value>
            <val>1</val>
          </value>
        </values>
      </ddeItem>
      <ddeItem name="AI[36].RH.fix" advise="1">
        <values>
          <value>
            <val>0</val>
          </value>
        </values>
      </ddeItem>
      <ddeItem name="AI[36].RH.V" advise="1">
        <values>
          <value>
            <val>160</val>
          </value>
        </values>
      </ddeItem>
      <ddeItem name="AI[36].RL.EN" advise="1">
        <values>
          <value>
            <val>1</val>
          </value>
        </values>
      </ddeItem>
      <ddeItem name="AI[36].RL.fix" advise="1">
        <values>
          <value>
            <val>0</val>
          </value>
        </values>
      </ddeItem>
      <ddeItem name="AI[36].RL.V" advise="1">
        <values>
          <value>
            <val>40</val>
          </value>
        </values>
      </ddeItem>
      <ddeItem name="AI[36].state" advise="1">
        <values>
          <value>
            <val>4</val>
          </value>
        </values>
      </ddeItem>
      <ddeItem name="AI[36].v" advise="1">
        <values>
          <value>
            <val>0</val>
          </value>
        </values>
      </ddeItem>
      <ddeItem name="AI[36].vCorrect" advise="1"/>
      <ddeItem name="AI[36].vCut" advise="1"/>
      <ddeItem name="AI[36].vRaw" advise="1"/>
      <ddeItem name="AI[36].ZH" advise="1">
        <values>
          <value>
            <val>300</val>
          </value>
        </values>
      </ddeItem>
      <ddeItem name="AI[36].ZL" advise="1">
        <values>
          <value>
            <val>0</val>
          </value>
        </values>
      </ddeItem>
      <ddeItem name="AI[37].break.sgn" advise="1">
        <values>
          <value>
            <val>1</val>
          </value>
        </values>
      </ddeItem>
      <ddeItem name="AI[37].EN" advise="1">
        <values>
          <value>
            <val>1</val>
          </value>
        </values>
      </ddeItem>
      <ddeItem name="AI[37].group" advise="1">
        <values>
          <value>
            <val>1</val>
          </value>
        </values>
      </ddeItem>
      <ddeItem name="AI[37].H.EN" advise="1">
        <values>
          <value>
            <val>0</val>
          </value>
        </values>
      </ddeItem>
      <ddeItem name="AI[37].H.fix" advise="1">
        <values>
          <value>
            <val>0</val>
          </value>
        </values>
      </ddeItem>
      <ddeItem name="AI[37].H.V" advise="1">
        <values>
          <value>
            <val>0</val>
          </value>
        </values>
      </ddeItem>
      <ddeItem name="AI[37].HH.EN" advise="1">
        <values>
          <value>
            <val>0</val>
          </value>
        </values>
      </ddeItem>
      <ddeItem name="AI[37].HH.fix" advise="1">
        <values>
          <value>
            <val>0</val>
          </value>
        </values>
      </ddeItem>
      <ddeItem name="AI[37].HH.V" advise="1">
        <values>
          <value>
            <val>0</val>
          </value>
        </values>
      </ddeItem>
      <ddeItem name="AI[37].i" advise="1">
        <values>
          <value>
            <val>2.5129319999999998E-3</val>
          </value>
        </values>
      </ddeItem>
      <ddeItem name="AI[37].isCorrect" advise="1">
        <values>
          <value>
            <val>0</val>
          </value>
        </values>
      </ddeItem>
      <ddeItem name="AI[37].isCut" advise="1"/>
      <ddeItem name="AI[37].isForce" advise="1">
        <values>
          <value>
            <val>0</val>
          </value>
        </values>
      </ddeItem>
      <ddeItem name="AI[37].isInvScale" advise="1">
        <values>
          <value>
            <val>0</val>
          </value>
        </values>
      </ddeItem>
      <ddeItem name="AI[37].L.EN" advise="1">
        <values>
          <value>
            <val>0</val>
          </value>
        </values>
      </ddeItem>
      <ddeItem name="AI[37].L.fix" advise="1">
        <values>
          <value>
            <val>0</val>
          </value>
        </values>
      </ddeItem>
      <ddeItem name="AI[37].L.V" advise="1">
        <values>
          <value>
            <val>0</val>
          </value>
        </values>
      </ddeItem>
      <ddeItem name="AI[37].LL.EN" advise="1">
        <values>
          <value>
            <val>0</val>
          </value>
        </values>
      </ddeItem>
      <ddeItem name="AI[37].LL.fix" advise="1">
        <values>
          <value>
            <val>0</val>
          </value>
        </values>
      </ddeItem>
      <ddeItem name="AI[37].LL.V" advise="1">
        <values>
          <value>
            <val>0</val>
          </value>
        </values>
      </ddeItem>
      <ddeItem name="AI[37].RH.EN" advise="1">
        <values>
          <value>
            <val>1</val>
          </value>
        </values>
      </ddeItem>
      <ddeItem name="AI[37].RH.fix" advise="1">
        <values>
          <value>
            <val>0</val>
          </value>
        </values>
      </ddeItem>
      <ddeItem name="AI[37].RH.V" advise="1">
        <values>
          <value>
            <val>160</val>
          </value>
        </values>
      </ddeItem>
      <ddeItem name="AI[37].RL.EN" advise="1">
        <values>
          <value>
            <val>1</val>
          </value>
        </values>
      </ddeItem>
      <ddeItem name="AI[37].RL.fix" advise="1">
        <values>
          <value>
            <val>0</val>
          </value>
        </values>
      </ddeItem>
      <ddeItem name="AI[37].RL.V" advise="1">
        <values>
          <value>
            <val>40</val>
          </value>
        </values>
      </ddeItem>
      <ddeItem name="AI[37].state" advise="1">
        <values>
          <value>
            <val>4</val>
          </value>
        </values>
      </ddeItem>
      <ddeItem name="AI[37].v" advise="1">
        <values>
          <value>
            <val>0</val>
          </value>
        </values>
      </ddeItem>
      <ddeItem name="AI[37].vCorrect" advise="1"/>
      <ddeItem name="AI[37].vCut" advise="1"/>
      <ddeItem name="AI[37].vRaw" advise="1"/>
      <ddeItem name="AI[37].ZH" advise="1">
        <values>
          <value>
            <val>300</val>
          </value>
        </values>
      </ddeItem>
      <ddeItem name="AI[37].ZL" advise="1">
        <values>
          <value>
            <val>0</val>
          </value>
        </values>
      </ddeItem>
      <ddeItem name="AI[38].break.sgn" advise="1">
        <values>
          <value>
            <val>1</val>
          </value>
        </values>
      </ddeItem>
      <ddeItem name="AI[38].EN" advise="1">
        <values>
          <value>
            <val>1</val>
          </value>
        </values>
      </ddeItem>
      <ddeItem name="AI[38].group" advise="1">
        <values>
          <value>
            <val>1</val>
          </value>
        </values>
      </ddeItem>
      <ddeItem name="AI[38].H.EN" advise="1">
        <values>
          <value>
            <val>0</val>
          </value>
        </values>
      </ddeItem>
      <ddeItem name="AI[38].H.fix" advise="1">
        <values>
          <value>
            <val>0</val>
          </value>
        </values>
      </ddeItem>
      <ddeItem name="AI[38].H.V" advise="1">
        <values>
          <value>
            <val>0</val>
          </value>
        </values>
      </ddeItem>
      <ddeItem name="AI[38].HH.EN" advise="1">
        <values>
          <value>
            <val>0</val>
          </value>
        </values>
      </ddeItem>
      <ddeItem name="AI[38].HH.fix" advise="1">
        <values>
          <value>
            <val>0</val>
          </value>
        </values>
      </ddeItem>
      <ddeItem name="AI[38].HH.V" advise="1">
        <values>
          <value>
            <val>0</val>
          </value>
        </values>
      </ddeItem>
      <ddeItem name="AI[38].i" advise="1">
        <values>
          <value>
            <val>2.5129319999999998E-3</val>
          </value>
        </values>
      </ddeItem>
      <ddeItem name="AI[38].isCorrect" advise="1">
        <values>
          <value>
            <val>0</val>
          </value>
        </values>
      </ddeItem>
      <ddeItem name="AI[38].isCut" advise="1"/>
      <ddeItem name="AI[38].isForce" advise="1">
        <values>
          <value>
            <val>0</val>
          </value>
        </values>
      </ddeItem>
      <ddeItem name="AI[38].isInvScale" advise="1">
        <values>
          <value>
            <val>0</val>
          </value>
        </values>
      </ddeItem>
      <ddeItem name="AI[38].L.EN" advise="1">
        <values>
          <value>
            <val>0</val>
          </value>
        </values>
      </ddeItem>
      <ddeItem name="AI[38].L.fix" advise="1">
        <values>
          <value>
            <val>0</val>
          </value>
        </values>
      </ddeItem>
      <ddeItem name="AI[38].L.V" advise="1">
        <values>
          <value>
            <val>0</val>
          </value>
        </values>
      </ddeItem>
      <ddeItem name="AI[38].LL.EN" advise="1">
        <values>
          <value>
            <val>0</val>
          </value>
        </values>
      </ddeItem>
      <ddeItem name="AI[38].LL.fix" advise="1">
        <values>
          <value>
            <val>0</val>
          </value>
        </values>
      </ddeItem>
      <ddeItem name="AI[38].LL.V" advise="1">
        <values>
          <value>
            <val>0</val>
          </value>
        </values>
      </ddeItem>
      <ddeItem name="AI[38].RH.EN" advise="1">
        <values>
          <value>
            <val>1</val>
          </value>
        </values>
      </ddeItem>
      <ddeItem name="AI[38].RH.fix" advise="1">
        <values>
          <value>
            <val>0</val>
          </value>
        </values>
      </ddeItem>
      <ddeItem name="AI[38].RH.V" advise="1">
        <values>
          <value>
            <val>250</val>
          </value>
        </values>
      </ddeItem>
      <ddeItem name="AI[38].RL.EN" advise="1">
        <values>
          <value>
            <val>1</val>
          </value>
        </values>
      </ddeItem>
      <ddeItem name="AI[38].RL.fix" advise="1">
        <values>
          <value>
            <val>0</val>
          </value>
        </values>
      </ddeItem>
      <ddeItem name="AI[38].RL.V" advise="1">
        <values>
          <value>
            <val>130</val>
          </value>
        </values>
      </ddeItem>
      <ddeItem name="AI[38].state" advise="1">
        <values>
          <value>
            <val>4</val>
          </value>
        </values>
      </ddeItem>
      <ddeItem name="AI[38].v" advise="1">
        <values>
          <value>
            <val>0</val>
          </value>
        </values>
      </ddeItem>
      <ddeItem name="AI[38].vCorrect" advise="1"/>
      <ddeItem name="AI[38].vCut" advise="1"/>
      <ddeItem name="AI[38].vRaw" advise="1"/>
      <ddeItem name="AI[38].ZH" advise="1">
        <values>
          <value>
            <val>300</val>
          </value>
        </values>
      </ddeItem>
      <ddeItem name="AI[38].ZL" advise="1">
        <values>
          <value>
            <val>0</val>
          </value>
        </values>
      </ddeItem>
      <ddeItem name="AI[39].break.sgn" advise="1">
        <values>
          <value>
            <val>1</val>
          </value>
        </values>
      </ddeItem>
      <ddeItem name="AI[39].EN" advise="1">
        <values>
          <value>
            <val>1</val>
          </value>
        </values>
      </ddeItem>
      <ddeItem name="AI[39].group" advise="1">
        <values>
          <value>
            <val>1</val>
          </value>
        </values>
      </ddeItem>
      <ddeItem name="AI[39].H.EN" advise="1">
        <values>
          <value>
            <val>0</val>
          </value>
        </values>
      </ddeItem>
      <ddeItem name="AI[39].H.fix" advise="1">
        <values>
          <value>
            <val>0</val>
          </value>
        </values>
      </ddeItem>
      <ddeItem name="AI[39].H.V" advise="1">
        <values>
          <value>
            <val>0</val>
          </value>
        </values>
      </ddeItem>
      <ddeItem name="AI[39].HH.EN" advise="1">
        <values>
          <value>
            <val>0</val>
          </value>
        </values>
      </ddeItem>
      <ddeItem name="AI[39].HH.fix" advise="1">
        <values>
          <value>
            <val>0</val>
          </value>
        </values>
      </ddeItem>
      <ddeItem name="AI[39].HH.V" advise="1">
        <values>
          <value>
            <val>0</val>
          </value>
        </values>
      </ddeItem>
      <ddeItem name="AI[39].i" advise="1">
        <values>
          <value>
            <val>2.5129319999999998E-3</val>
          </value>
        </values>
      </ddeItem>
      <ddeItem name="AI[39].isCorrect" advise="1">
        <values>
          <value>
            <val>0</val>
          </value>
        </values>
      </ddeItem>
      <ddeItem name="AI[39].isCut" advise="1"/>
      <ddeItem name="AI[39].isForce" advise="1">
        <values>
          <value>
            <val>0</val>
          </value>
        </values>
      </ddeItem>
      <ddeItem name="AI[39].isInvScale" advise="1">
        <values>
          <value>
            <val>0</val>
          </value>
        </values>
      </ddeItem>
      <ddeItem name="AI[39].L.EN" advise="1">
        <values>
          <value>
            <val>0</val>
          </value>
        </values>
      </ddeItem>
      <ddeItem name="AI[39].L.fix" advise="1">
        <values>
          <value>
            <val>0</val>
          </value>
        </values>
      </ddeItem>
      <ddeItem name="AI[39].L.V" advise="1">
        <values>
          <value>
            <val>0</val>
          </value>
        </values>
      </ddeItem>
      <ddeItem name="AI[39].LL.EN" advise="1">
        <values>
          <value>
            <val>0</val>
          </value>
        </values>
      </ddeItem>
      <ddeItem name="AI[39].LL.fix" advise="1">
        <values>
          <value>
            <val>0</val>
          </value>
        </values>
      </ddeItem>
      <ddeItem name="AI[39].LL.V" advise="1">
        <values>
          <value>
            <val>0</val>
          </value>
        </values>
      </ddeItem>
      <ddeItem name="AI[39].RH.EN" advise="1">
        <values>
          <value>
            <val>1</val>
          </value>
        </values>
      </ddeItem>
      <ddeItem name="AI[39].RH.fix" advise="1">
        <values>
          <value>
            <val>0</val>
          </value>
        </values>
      </ddeItem>
      <ddeItem name="AI[39].RH.V" advise="1">
        <values>
          <value>
            <val>85</val>
          </value>
        </values>
      </ddeItem>
      <ddeItem name="AI[39].RL.EN" advise="1">
        <values>
          <value>
            <val>1</val>
          </value>
        </values>
      </ddeItem>
      <ddeItem name="AI[39].RL.fix" advise="1">
        <values>
          <value>
            <val>0</val>
          </value>
        </values>
      </ddeItem>
      <ddeItem name="AI[39].RL.V" advise="1">
        <values>
          <value>
            <val>0</val>
          </value>
        </values>
      </ddeItem>
      <ddeItem name="AI[39].state" advise="1">
        <values>
          <value>
            <val>4</val>
          </value>
        </values>
      </ddeItem>
      <ddeItem name="AI[39].v" advise="1">
        <values>
          <value>
            <val>0</val>
          </value>
        </values>
      </ddeItem>
      <ddeItem name="AI[39].vCorrect" advise="1"/>
      <ddeItem name="AI[39].vCut" advise="1"/>
      <ddeItem name="AI[39].vRaw" advise="1"/>
      <ddeItem name="AI[39].ZH" advise="1">
        <values>
          <value>
            <val>100</val>
          </value>
        </values>
      </ddeItem>
      <ddeItem name="AI[39].ZL" advise="1">
        <values>
          <value>
            <val>0</val>
          </value>
        </values>
      </ddeItem>
      <ddeItem name="AI[4].break.sgn" advise="1">
        <values>
          <value>
            <val>0</val>
          </value>
        </values>
      </ddeItem>
      <ddeItem name="AI[4].EN" advise="1">
        <values>
          <value>
            <val>1</val>
          </value>
        </values>
      </ddeItem>
      <ddeItem name="AI[4].group" advise="1">
        <values>
          <value>
            <val>1</val>
          </value>
        </values>
      </ddeItem>
      <ddeItem name="AI[4].H.EN" advise="1">
        <values>
          <value>
            <val>1</val>
          </value>
        </values>
      </ddeItem>
      <ddeItem name="AI[4].H.fix" advise="1">
        <values>
          <value>
            <val>0</val>
          </value>
        </values>
      </ddeItem>
      <ddeItem name="AI[4].H.V" advise="1">
        <values>
          <value>
            <val>60</val>
          </value>
        </values>
      </ddeItem>
      <ddeItem name="AI[4].HH.EN" advise="1">
        <values>
          <value>
            <val>0</val>
          </value>
        </values>
      </ddeItem>
      <ddeItem name="AI[4].HH.fix" advise="1">
        <values>
          <value>
            <val>0</val>
          </value>
        </values>
      </ddeItem>
      <ddeItem name="AI[4].HH.V" advise="1">
        <values>
          <value>
            <val>0</val>
          </value>
        </values>
      </ddeItem>
      <ddeItem name="AI[4].i" advise="1">
        <values>
          <value>
            <val>4.0130650000000001</val>
          </value>
        </values>
      </ddeItem>
      <ddeItem name="AI[4].isCorrect" advise="1">
        <values>
          <value>
            <val>0</val>
          </value>
        </values>
      </ddeItem>
      <ddeItem name="AI[4].isCut" advise="1"/>
      <ddeItem name="AI[4].isForce" advise="1">
        <values>
          <value>
            <val>0</val>
          </value>
        </values>
      </ddeItem>
      <ddeItem name="AI[4].isInvScale" advise="1">
        <values>
          <value>
            <val>0</val>
          </value>
        </values>
      </ddeItem>
      <ddeItem name="AI[4].L.EN" advise="1">
        <values>
          <value>
            <val>1</val>
          </value>
        </values>
      </ddeItem>
      <ddeItem name="AI[4].L.fix" advise="1">
        <values>
          <value>
            <val>1</val>
          </value>
        </values>
      </ddeItem>
      <ddeItem name="AI[4].L.V" advise="1">
        <values>
          <value>
            <val>10</val>
          </value>
        </values>
      </ddeItem>
      <ddeItem name="AI[4].LL.EN" advise="1">
        <values>
          <value>
            <val>0</val>
          </value>
        </values>
      </ddeItem>
      <ddeItem name="AI[4].LL.fix" advise="1">
        <values>
          <value>
            <val>0</val>
          </value>
        </values>
      </ddeItem>
      <ddeItem name="AI[4].LL.V" advise="1">
        <values>
          <value>
            <val>0</val>
          </value>
        </values>
      </ddeItem>
      <ddeItem name="AI[4].RH.EN" advise="1">
        <values>
          <value>
            <val>1</val>
          </value>
        </values>
      </ddeItem>
      <ddeItem name="AI[4].RH.fix" advise="1">
        <values>
          <value>
            <val>0</val>
          </value>
        </values>
      </ddeItem>
      <ddeItem name="AI[4].RH.V" advise="1">
        <values>
          <value>
            <val>60</val>
          </value>
        </values>
      </ddeItem>
      <ddeItem name="AI[4].RL.EN" advise="1">
        <values>
          <value>
            <val>1</val>
          </value>
        </values>
      </ddeItem>
      <ddeItem name="AI[4].RL.fix" advise="1">
        <values>
          <value>
            <val>1</val>
          </value>
        </values>
      </ddeItem>
      <ddeItem name="AI[4].RL.V" advise="1">
        <values>
          <value>
            <val>10</val>
          </value>
        </values>
      </ddeItem>
      <ddeItem name="AI[4].state" advise="1">
        <values>
          <value>
            <val>2</val>
          </value>
        </values>
      </ddeItem>
      <ddeItem name="AI[4].v" advise="1">
        <values>
          <value>
            <val>0</val>
          </value>
        </values>
      </ddeItem>
      <ddeItem name="AI[4].vCorrect" advise="1"/>
      <ddeItem name="AI[4].vCut" advise="1"/>
      <ddeItem name="AI[4].vRaw" advise="1"/>
      <ddeItem name="AI[4].ZH" advise="1">
        <values>
          <value>
            <val>100</val>
          </value>
        </values>
      </ddeItem>
      <ddeItem name="AI[4].ZL" advise="1">
        <values>
          <value>
            <val>0</val>
          </value>
        </values>
      </ddeItem>
      <ddeItem name="AI[40].break.sgn" advise="1">
        <values>
          <value>
            <val>1</val>
          </value>
        </values>
      </ddeItem>
      <ddeItem name="AI[40].EN" advise="1">
        <values>
          <value>
            <val>1</val>
          </value>
        </values>
      </ddeItem>
      <ddeItem name="AI[40].group" advise="1">
        <values>
          <value>
            <val>1</val>
          </value>
        </values>
      </ddeItem>
      <ddeItem name="AI[40].H.EN" advise="1">
        <values>
          <value>
            <val>0</val>
          </value>
        </values>
      </ddeItem>
      <ddeItem name="AI[40].H.fix" advise="1">
        <values>
          <value>
            <val>0</val>
          </value>
        </values>
      </ddeItem>
      <ddeItem name="AI[40].H.V" advise="1">
        <values>
          <value>
            <val>0</val>
          </value>
        </values>
      </ddeItem>
      <ddeItem name="AI[40].HH.EN" advise="1">
        <values>
          <value>
            <val>0</val>
          </value>
        </values>
      </ddeItem>
      <ddeItem name="AI[40].HH.fix" advise="1">
        <values>
          <value>
            <val>0</val>
          </value>
        </values>
      </ddeItem>
      <ddeItem name="AI[40].HH.V" advise="1">
        <values>
          <value>
            <val>0</val>
          </value>
        </values>
      </ddeItem>
      <ddeItem name="AI[40].i" advise="1">
        <values>
          <value>
            <val>1.8844599999999999E-3</val>
          </value>
        </values>
      </ddeItem>
      <ddeItem name="AI[40].isCorrect" advise="1">
        <values>
          <value>
            <val>0</val>
          </value>
        </values>
      </ddeItem>
      <ddeItem name="AI[40].isCut" advise="1"/>
      <ddeItem name="AI[40].isForce" advise="1">
        <values>
          <value>
            <val>0</val>
          </value>
        </values>
      </ddeItem>
      <ddeItem name="AI[40].isInvScale" advise="1">
        <values>
          <value>
            <val>0</val>
          </value>
        </values>
      </ddeItem>
      <ddeItem name="AI[40].L.EN" advise="1">
        <values>
          <value>
            <val>0</val>
          </value>
        </values>
      </ddeItem>
      <ddeItem name="AI[40].L.fix" advise="1">
        <values>
          <value>
            <val>0</val>
          </value>
        </values>
      </ddeItem>
      <ddeItem name="AI[40].L.V" advise="1">
        <values>
          <value>
            <val>0</val>
          </value>
        </values>
      </ddeItem>
      <ddeItem name="AI[40].LL.EN" advise="1">
        <values>
          <value>
            <val>0</val>
          </value>
        </values>
      </ddeItem>
      <ddeItem name="AI[40].LL.fix" advise="1">
        <values>
          <value>
            <val>0</val>
          </value>
        </values>
      </ddeItem>
      <ddeItem name="AI[40].LL.V" advise="1">
        <values>
          <value>
            <val>0</val>
          </value>
        </values>
      </ddeItem>
      <ddeItem name="AI[40].RH.EN" advise="1">
        <values>
          <value>
            <val>1</val>
          </value>
        </values>
      </ddeItem>
      <ddeItem name="AI[40].RH.fix" advise="1">
        <values>
          <value>
            <val>0</val>
          </value>
        </values>
      </ddeItem>
      <ddeItem name="AI[40].RH.V" advise="1">
        <values>
          <value>
            <val>210</val>
          </value>
        </values>
      </ddeItem>
      <ddeItem name="AI[40].RL.EN" advise="1">
        <values>
          <value>
            <val>1</val>
          </value>
        </values>
      </ddeItem>
      <ddeItem name="AI[40].RL.fix" advise="1">
        <values>
          <value>
            <val>0</val>
          </value>
        </values>
      </ddeItem>
      <ddeItem name="AI[40].RL.V" advise="1">
        <values>
          <value>
            <val>125</val>
          </value>
        </values>
      </ddeItem>
      <ddeItem name="AI[40].state" advise="1">
        <values>
          <value>
            <val>4</val>
          </value>
        </values>
      </ddeItem>
      <ddeItem name="AI[40].v" advise="1">
        <values>
          <value>
            <val>0</val>
          </value>
        </values>
      </ddeItem>
      <ddeItem name="AI[40].vCorrect" advise="1"/>
      <ddeItem name="AI[40].vCut" advise="1"/>
      <ddeItem name="AI[40].vRaw" advise="1"/>
      <ddeItem name="AI[40].ZH" advise="1">
        <values>
          <value>
            <val>300</val>
          </value>
        </values>
      </ddeItem>
      <ddeItem name="AI[40].ZL" advise="1">
        <values>
          <value>
            <val>0</val>
          </value>
        </values>
      </ddeItem>
      <ddeItem name="AI[41].break.sgn" advise="1">
        <values>
          <value>
            <val>1</val>
          </value>
        </values>
      </ddeItem>
      <ddeItem name="AI[41].EN" advise="1">
        <values>
          <value>
            <val>1</val>
          </value>
        </values>
      </ddeItem>
      <ddeItem name="AI[41].group" advise="1">
        <values>
          <value>
            <val>1</val>
          </value>
        </values>
      </ddeItem>
      <ddeItem name="AI[41].H.EN" advise="1">
        <values>
          <value>
            <val>0</val>
          </value>
        </values>
      </ddeItem>
      <ddeItem name="AI[41].H.fix" advise="1">
        <values>
          <value>
            <val>0</val>
          </value>
        </values>
      </ddeItem>
      <ddeItem name="AI[41].H.V" advise="1">
        <values>
          <value>
            <val>0</val>
          </value>
        </values>
      </ddeItem>
      <ddeItem name="AI[41].HH.EN" advise="1">
        <values>
          <value>
            <val>0</val>
          </value>
        </values>
      </ddeItem>
      <ddeItem name="AI[41].HH.fix" advise="1">
        <values>
          <value>
            <val>0</val>
          </value>
        </values>
      </ddeItem>
      <ddeItem name="AI[41].HH.V" advise="1">
        <values>
          <value>
            <val>0</val>
          </value>
        </values>
      </ddeItem>
      <ddeItem name="AI[41].i" advise="1">
        <values>
          <value>
            <val>1.570702E-3</val>
          </value>
        </values>
      </ddeItem>
      <ddeItem name="AI[41].isCorrect" advise="1">
        <values>
          <value>
            <val>0</val>
          </value>
        </values>
      </ddeItem>
      <ddeItem name="AI[41].isCut" advise="1"/>
      <ddeItem name="AI[41].isForce" advise="1">
        <values>
          <value>
            <val>0</val>
          </value>
        </values>
      </ddeItem>
      <ddeItem name="AI[41].isInvScale" advise="1">
        <values>
          <value>
            <val>0</val>
          </value>
        </values>
      </ddeItem>
      <ddeItem name="AI[41].L.EN" advise="1">
        <values>
          <value>
            <val>0</val>
          </value>
        </values>
      </ddeItem>
      <ddeItem name="AI[41].L.fix" advise="1">
        <values>
          <value>
            <val>0</val>
          </value>
        </values>
      </ddeItem>
      <ddeItem name="AI[41].L.V" advise="1">
        <values>
          <value>
            <val>0</val>
          </value>
        </values>
      </ddeItem>
      <ddeItem name="AI[41].LL.EN" advise="1">
        <values>
          <value>
            <val>0</val>
          </value>
        </values>
      </ddeItem>
      <ddeItem name="AI[41].LL.fix" advise="1">
        <values>
          <value>
            <val>0</val>
          </value>
        </values>
      </ddeItem>
      <ddeItem name="AI[41].LL.V" advise="1">
        <values>
          <value>
            <val>0</val>
          </value>
        </values>
      </ddeItem>
      <ddeItem name="AI[41].RH.EN" advise="1">
        <values>
          <value>
            <val>1</val>
          </value>
        </values>
      </ddeItem>
      <ddeItem name="AI[41].RH.fix" advise="1">
        <values>
          <value>
            <val>0</val>
          </value>
        </values>
      </ddeItem>
      <ddeItem name="AI[41].RH.V" advise="1">
        <values>
          <value>
            <val>210</val>
          </value>
        </values>
      </ddeItem>
      <ddeItem name="AI[41].RL.EN" advise="1">
        <values>
          <value>
            <val>1</val>
          </value>
        </values>
      </ddeItem>
      <ddeItem name="AI[41].RL.fix" advise="1">
        <values>
          <value>
            <val>0</val>
          </value>
        </values>
      </ddeItem>
      <ddeItem name="AI[41].RL.V" advise="1">
        <values>
          <value>
            <val>125</val>
          </value>
        </values>
      </ddeItem>
      <ddeItem name="AI[41].state" advise="1">
        <values>
          <value>
            <val>4</val>
          </value>
        </values>
      </ddeItem>
      <ddeItem name="AI[41].v" advise="1">
        <values>
          <value>
            <val>0</val>
          </value>
        </values>
      </ddeItem>
      <ddeItem name="AI[41].vCorrect" advise="1"/>
      <ddeItem name="AI[41].vCut" advise="1"/>
      <ddeItem name="AI[41].vRaw" advise="1"/>
      <ddeItem name="AI[41].ZH" advise="1">
        <values>
          <value>
            <val>300</val>
          </value>
        </values>
      </ddeItem>
      <ddeItem name="AI[41].ZL" advise="1">
        <values>
          <value>
            <val>0</val>
          </value>
        </values>
      </ddeItem>
      <ddeItem name="AI[42].break.sgn" advise="1">
        <values>
          <value>
            <val>1</val>
          </value>
        </values>
      </ddeItem>
      <ddeItem name="AI[42].EN" advise="1">
        <values>
          <value>
            <val>1</val>
          </value>
        </values>
      </ddeItem>
      <ddeItem name="AI[42].group" advise="1">
        <values>
          <value>
            <val>1</val>
          </value>
        </values>
      </ddeItem>
      <ddeItem name="AI[42].H.EN" advise="1">
        <values>
          <value>
            <val>0</val>
          </value>
        </values>
      </ddeItem>
      <ddeItem name="AI[42].H.fix" advise="1">
        <values>
          <value>
            <val>0</val>
          </value>
        </values>
      </ddeItem>
      <ddeItem name="AI[42].H.V" advise="1">
        <values>
          <value>
            <val>0</val>
          </value>
        </values>
      </ddeItem>
      <ddeItem name="AI[42].HH.EN" advise="1">
        <values>
          <value>
            <val>0</val>
          </value>
        </values>
      </ddeItem>
      <ddeItem name="AI[42].HH.fix" advise="1">
        <values>
          <value>
            <val>0</val>
          </value>
        </values>
      </ddeItem>
      <ddeItem name="AI[42].HH.V" advise="1">
        <values>
          <value>
            <val>0</val>
          </value>
        </values>
      </ddeItem>
      <ddeItem name="AI[42].i" advise="1">
        <values>
          <value>
            <val>2.198219E-3</val>
          </value>
        </values>
      </ddeItem>
      <ddeItem name="AI[42].isCorrect" advise="1">
        <values>
          <value>
            <val>0</val>
          </value>
        </values>
      </ddeItem>
      <ddeItem name="AI[42].isCut" advise="1"/>
      <ddeItem name="AI[42].isForce" advise="1">
        <values>
          <value>
            <val>0</val>
          </value>
        </values>
      </ddeItem>
      <ddeItem name="AI[42].isInvScale" advise="1">
        <values>
          <value>
            <val>0</val>
          </value>
        </values>
      </ddeItem>
      <ddeItem name="AI[42].L.EN" advise="1">
        <values>
          <value>
            <val>0</val>
          </value>
        </values>
      </ddeItem>
      <ddeItem name="AI[42].L.fix" advise="1">
        <values>
          <value>
            <val>0</val>
          </value>
        </values>
      </ddeItem>
      <ddeItem name="AI[42].L.V" advise="1">
        <values>
          <value>
            <val>0</val>
          </value>
        </values>
      </ddeItem>
      <ddeItem name="AI[42].LL.EN" advise="1">
        <values>
          <value>
            <val>0</val>
          </value>
        </values>
      </ddeItem>
      <ddeItem name="AI[42].LL.fix" advise="1">
        <values>
          <value>
            <val>0</val>
          </value>
        </values>
      </ddeItem>
      <ddeItem name="AI[42].LL.V" advise="1">
        <values>
          <value>
            <val>0</val>
          </value>
        </values>
      </ddeItem>
      <ddeItem name="AI[42].RH.EN" advise="1">
        <values>
          <value>
            <val>1</val>
          </value>
        </values>
      </ddeItem>
      <ddeItem name="AI[42].RH.fix" advise="1">
        <values>
          <value>
            <val>0</val>
          </value>
        </values>
      </ddeItem>
      <ddeItem name="AI[42].RH.V" advise="1">
        <values>
          <value>
            <val>210</val>
          </value>
        </values>
      </ddeItem>
      <ddeItem name="AI[42].RL.EN" advise="1">
        <values>
          <value>
            <val>1</val>
          </value>
        </values>
      </ddeItem>
      <ddeItem name="AI[42].RL.fix" advise="1">
        <values>
          <value>
            <val>0</val>
          </value>
        </values>
      </ddeItem>
      <ddeItem name="AI[42].RL.V" advise="1">
        <values>
          <value>
            <val>125</val>
          </value>
        </values>
      </ddeItem>
      <ddeItem name="AI[42].state" advise="1">
        <values>
          <value>
            <val>4</val>
          </value>
        </values>
      </ddeItem>
      <ddeItem name="AI[42].v" advise="1">
        <values>
          <value>
            <val>0</val>
          </value>
        </values>
      </ddeItem>
      <ddeItem name="AI[42].vCorrect" advise="1"/>
      <ddeItem name="AI[42].vCut" advise="1"/>
      <ddeItem name="AI[42].vRaw" advise="1"/>
      <ddeItem name="AI[42].ZH" advise="1">
        <values>
          <value>
            <val>300</val>
          </value>
        </values>
      </ddeItem>
      <ddeItem name="AI[42].ZL" advise="1">
        <values>
          <value>
            <val>0</val>
          </value>
        </values>
      </ddeItem>
      <ddeItem name="AI[43].break.sgn" advise="1">
        <values>
          <value>
            <val>1</val>
          </value>
        </values>
      </ddeItem>
      <ddeItem name="AI[43].EN" advise="1">
        <values>
          <value>
            <val>1</val>
          </value>
        </values>
      </ddeItem>
      <ddeItem name="AI[43].group" advise="1">
        <values>
          <value>
            <val>1</val>
          </value>
        </values>
      </ddeItem>
      <ddeItem name="AI[43].H.EN" advise="1">
        <values>
          <value>
            <val>0</val>
          </value>
        </values>
      </ddeItem>
      <ddeItem name="AI[43].H.fix" advise="1">
        <values>
          <value>
            <val>0</val>
          </value>
        </values>
      </ddeItem>
      <ddeItem name="AI[43].H.V" advise="1">
        <values>
          <value>
            <val>0</val>
          </value>
        </values>
      </ddeItem>
      <ddeItem name="AI[43].HH.EN" advise="1">
        <values>
          <value>
            <val>0</val>
          </value>
        </values>
      </ddeItem>
      <ddeItem name="AI[43].HH.fix" advise="1">
        <values>
          <value>
            <val>0</val>
          </value>
        </values>
      </ddeItem>
      <ddeItem name="AI[43].HH.V" advise="1">
        <values>
          <value>
            <val>0</val>
          </value>
        </values>
      </ddeItem>
      <ddeItem name="AI[43].i" advise="1">
        <values>
          <value>
            <val>1.8844599999999999E-3</val>
          </value>
        </values>
      </ddeItem>
      <ddeItem name="AI[43].isCorrect" advise="1">
        <values>
          <value>
            <val>0</val>
          </value>
        </values>
      </ddeItem>
      <ddeItem name="AI[43].isCut" advise="1"/>
      <ddeItem name="AI[43].isForce" advise="1">
        <values>
          <value>
            <val>0</val>
          </value>
        </values>
      </ddeItem>
      <ddeItem name="AI[43].isInvScale" advise="1">
        <values>
          <value>
            <val>0</val>
          </value>
        </values>
      </ddeItem>
      <ddeItem name="AI[43].L.EN" advise="1">
        <values>
          <value>
            <val>0</val>
          </value>
        </values>
      </ddeItem>
      <ddeItem name="AI[43].L.fix" advise="1">
        <values>
          <value>
            <val>0</val>
          </value>
        </values>
      </ddeItem>
      <ddeItem name="AI[43].L.V" advise="1">
        <values>
          <value>
            <val>0</val>
          </value>
        </values>
      </ddeItem>
      <ddeItem name="AI[43].LL.EN" advise="1">
        <values>
          <value>
            <val>0</val>
          </value>
        </values>
      </ddeItem>
      <ddeItem name="AI[43].LL.fix" advise="1">
        <values>
          <value>
            <val>0</val>
          </value>
        </values>
      </ddeItem>
      <ddeItem name="AI[43].LL.V" advise="1">
        <values>
          <value>
            <val>0</val>
          </value>
        </values>
      </ddeItem>
      <ddeItem name="AI[43].RH.EN" advise="1">
        <values>
          <value>
            <val>0</val>
          </value>
        </values>
      </ddeItem>
      <ddeItem name="AI[43].RH.fix" advise="1">
        <values>
          <value>
            <val>0</val>
          </value>
        </values>
      </ddeItem>
      <ddeItem name="AI[43].RH.V" advise="1">
        <values>
          <value>
            <val>0</val>
          </value>
        </values>
      </ddeItem>
      <ddeItem name="AI[43].RL.EN" advise="1">
        <values>
          <value>
            <val>1</val>
          </value>
        </values>
      </ddeItem>
      <ddeItem name="AI[43].RL.fix" advise="1">
        <values>
          <value>
            <val>0</val>
          </value>
        </values>
      </ddeItem>
      <ddeItem name="AI[43].RL.V" advise="1">
        <values>
          <value>
            <val>0</val>
          </value>
        </values>
      </ddeItem>
      <ddeItem name="AI[43].state" advise="1">
        <values>
          <value>
            <val>4</val>
          </value>
        </values>
      </ddeItem>
      <ddeItem name="AI[43].v" advise="1">
        <values>
          <value>
            <val>0</val>
          </value>
        </values>
      </ddeItem>
      <ddeItem name="AI[43].vCorrect" advise="1"/>
      <ddeItem name="AI[43].vCut" advise="1"/>
      <ddeItem name="AI[43].vRaw" advise="1"/>
      <ddeItem name="AI[43].ZH" advise="1">
        <values>
          <value>
            <val>100</val>
          </value>
        </values>
      </ddeItem>
      <ddeItem name="AI[43].ZL" advise="1">
        <values>
          <value>
            <val>0</val>
          </value>
        </values>
      </ddeItem>
      <ddeItem name="AI[44].break.sgn" advise="1">
        <values>
          <value>
            <val>0</val>
          </value>
        </values>
      </ddeItem>
      <ddeItem name="AI[44].EN" advise="1">
        <values>
          <value>
            <val>0</val>
          </value>
        </values>
      </ddeItem>
      <ddeItem name="AI[44].group" advise="1">
        <values>
          <value>
            <val>3</val>
          </value>
        </values>
      </ddeItem>
      <ddeItem name="AI[44].H.EN" advise="1">
        <values>
          <value>
            <val>0</val>
          </value>
        </values>
      </ddeItem>
      <ddeItem name="AI[44].H.fix" advise="1">
        <values>
          <value>
            <val>0</val>
          </value>
        </values>
      </ddeItem>
      <ddeItem name="AI[44].H.V" advise="1">
        <values>
          <value>
            <val>0</val>
          </value>
        </values>
      </ddeItem>
      <ddeItem name="AI[44].HH.EN" advise="1">
        <values>
          <value>
            <val>0</val>
          </value>
        </values>
      </ddeItem>
      <ddeItem name="AI[44].HH.fix" advise="1">
        <values>
          <value>
            <val>0</val>
          </value>
        </values>
      </ddeItem>
      <ddeItem name="AI[44].HH.V" advise="1">
        <values>
          <value>
            <val>0</val>
          </value>
        </values>
      </ddeItem>
      <ddeItem name="AI[44].i" advise="1">
        <values>
          <value>
            <val>0</val>
          </value>
        </values>
      </ddeItem>
      <ddeItem name="AI[44].isCorrect" advise="1">
        <values>
          <value>
            <val>0</val>
          </value>
        </values>
      </ddeItem>
      <ddeItem name="AI[44].isCut" advise="1"/>
      <ddeItem name="AI[44].isForce" advise="1">
        <values>
          <value>
            <val>0</val>
          </value>
        </values>
      </ddeItem>
      <ddeItem name="AI[44].isInvScale" advise="1">
        <values>
          <value>
            <val>0</val>
          </value>
        </values>
      </ddeItem>
      <ddeItem name="AI[44].L.EN" advise="1">
        <values>
          <value>
            <val>0</val>
          </value>
        </values>
      </ddeItem>
      <ddeItem name="AI[44].L.fix" advise="1">
        <values>
          <value>
            <val>0</val>
          </value>
        </values>
      </ddeItem>
      <ddeItem name="AI[44].L.V" advise="1">
        <values>
          <value>
            <val>0</val>
          </value>
        </values>
      </ddeItem>
      <ddeItem name="AI[44].LL.EN" advise="1">
        <values>
          <value>
            <val>0</val>
          </value>
        </values>
      </ddeItem>
      <ddeItem name="AI[44].LL.fix" advise="1">
        <values>
          <value>
            <val>0</val>
          </value>
        </values>
      </ddeItem>
      <ddeItem name="AI[44].LL.V" advise="1">
        <values>
          <value>
            <val>0</val>
          </value>
        </values>
      </ddeItem>
      <ddeItem name="AI[44].RH.EN" advise="1">
        <values>
          <value>
            <val>0</val>
          </value>
        </values>
      </ddeItem>
      <ddeItem name="AI[44].RH.fix" advise="1">
        <values>
          <value>
            <val>0</val>
          </value>
        </values>
      </ddeItem>
      <ddeItem name="AI[44].RH.V" advise="1">
        <values>
          <value>
            <val>0</val>
          </value>
        </values>
      </ddeItem>
      <ddeItem name="AI[44].RL.EN" advise="1">
        <values>
          <value>
            <val>0</val>
          </value>
        </values>
      </ddeItem>
      <ddeItem name="AI[44].RL.fix" advise="1">
        <values>
          <value>
            <val>1</val>
          </value>
        </values>
      </ddeItem>
      <ddeItem name="AI[44].RL.V" advise="1">
        <values>
          <value>
            <val>0</val>
          </value>
        </values>
      </ddeItem>
      <ddeItem name="AI[44].state" advise="1">
        <values>
          <value>
            <val>4</val>
          </value>
        </values>
      </ddeItem>
      <ddeItem name="AI[44].v" advise="1">
        <values>
          <value>
            <val>0</val>
          </value>
        </values>
      </ddeItem>
      <ddeItem name="AI[44].vCorrect" advise="1"/>
      <ddeItem name="AI[44].vCut" advise="1"/>
      <ddeItem name="AI[44].vRaw" advise="1"/>
      <ddeItem name="AI[44].ZH" advise="1">
        <values>
          <value>
            <val>0</val>
          </value>
        </values>
      </ddeItem>
      <ddeItem name="AI[44].ZL" advise="1">
        <values>
          <value>
            <val>0</val>
          </value>
        </values>
      </ddeItem>
      <ddeItem name="AI[45].break.sgn" advise="1">
        <values>
          <value>
            <val>0</val>
          </value>
        </values>
      </ddeItem>
      <ddeItem name="AI[45].EN" advise="1">
        <values>
          <value>
            <val>0</val>
          </value>
        </values>
      </ddeItem>
      <ddeItem name="AI[45].group" advise="1">
        <values>
          <value>
            <val>3</val>
          </value>
        </values>
      </ddeItem>
      <ddeItem name="AI[45].H.EN" advise="1">
        <values>
          <value>
            <val>0</val>
          </value>
        </values>
      </ddeItem>
      <ddeItem name="AI[45].H.fix" advise="1">
        <values>
          <value>
            <val>0</val>
          </value>
        </values>
      </ddeItem>
      <ddeItem name="AI[45].H.V" advise="1">
        <values>
          <value>
            <val>0</val>
          </value>
        </values>
      </ddeItem>
      <ddeItem name="AI[45].HH.EN" advise="1">
        <values>
          <value>
            <val>0</val>
          </value>
        </values>
      </ddeItem>
      <ddeItem name="AI[45].HH.fix" advise="1">
        <values>
          <value>
            <val>0</val>
          </value>
        </values>
      </ddeItem>
      <ddeItem name="AI[45].HH.V" advise="1">
        <values>
          <value>
            <val>0</val>
          </value>
        </values>
      </ddeItem>
      <ddeItem name="AI[45].i" advise="1">
        <values>
          <value>
            <val>0</val>
          </value>
        </values>
      </ddeItem>
      <ddeItem name="AI[45].isCorrect" advise="1">
        <values>
          <value>
            <val>0</val>
          </value>
        </values>
      </ddeItem>
      <ddeItem name="AI[45].isCut" advise="1"/>
      <ddeItem name="AI[45].isForce" advise="1">
        <values>
          <value>
            <val>0</val>
          </value>
        </values>
      </ddeItem>
      <ddeItem name="AI[45].isInvScale" advise="1">
        <values>
          <value>
            <val>0</val>
          </value>
        </values>
      </ddeItem>
      <ddeItem name="AI[45].L.EN" advise="1">
        <values>
          <value>
            <val>0</val>
          </value>
        </values>
      </ddeItem>
      <ddeItem name="AI[45].L.fix" advise="1">
        <values>
          <value>
            <val>0</val>
          </value>
        </values>
      </ddeItem>
      <ddeItem name="AI[45].L.V" advise="1">
        <values>
          <value>
            <val>0</val>
          </value>
        </values>
      </ddeItem>
      <ddeItem name="AI[45].LL.EN" advise="1">
        <values>
          <value>
            <val>0</val>
          </value>
        </values>
      </ddeItem>
      <ddeItem name="AI[45].LL.fix" advise="1">
        <values>
          <value>
            <val>0</val>
          </value>
        </values>
      </ddeItem>
      <ddeItem name="AI[45].LL.V" advise="1">
        <values>
          <value>
            <val>0</val>
          </value>
        </values>
      </ddeItem>
      <ddeItem name="AI[45].RH.EN" advise="1">
        <values>
          <value>
            <val>0</val>
          </value>
        </values>
      </ddeItem>
      <ddeItem name="AI[45].RH.fix" advise="1">
        <values>
          <value>
            <val>0</val>
          </value>
        </values>
      </ddeItem>
      <ddeItem name="AI[45].RH.V" advise="1">
        <values>
          <value>
            <val>0</val>
          </value>
        </values>
      </ddeItem>
      <ddeItem name="AI[45].RL.EN" advise="1">
        <values>
          <value>
            <val>0</val>
          </value>
        </values>
      </ddeItem>
      <ddeItem name="AI[45].RL.fix" advise="1">
        <values>
          <value>
            <val>1</val>
          </value>
        </values>
      </ddeItem>
      <ddeItem name="AI[45].RL.V" advise="1">
        <values>
          <value>
            <val>0</val>
          </value>
        </values>
      </ddeItem>
      <ddeItem name="AI[45].state" advise="1">
        <values>
          <value>
            <val>4</val>
          </value>
        </values>
      </ddeItem>
      <ddeItem name="AI[45].v" advise="1">
        <values>
          <value>
            <val>0</val>
          </value>
        </values>
      </ddeItem>
      <ddeItem name="AI[45].vCorrect" advise="1"/>
      <ddeItem name="AI[45].vCut" advise="1"/>
      <ddeItem name="AI[45].vRaw" advise="1"/>
      <ddeItem name="AI[45].ZH" advise="1">
        <values>
          <value>
            <val>0</val>
          </value>
        </values>
      </ddeItem>
      <ddeItem name="AI[45].ZL" advise="1">
        <values>
          <value>
            <val>0</val>
          </value>
        </values>
      </ddeItem>
      <ddeItem name="AI[46].break.sgn" advise="1">
        <values>
          <value>
            <val>0</val>
          </value>
        </values>
      </ddeItem>
      <ddeItem name="AI[46].EN" advise="1">
        <values>
          <value>
            <val>0</val>
          </value>
        </values>
      </ddeItem>
      <ddeItem name="AI[46].group" advise="1">
        <values>
          <value>
            <val>3</val>
          </value>
        </values>
      </ddeItem>
      <ddeItem name="AI[46].H.EN" advise="1">
        <values>
          <value>
            <val>0</val>
          </value>
        </values>
      </ddeItem>
      <ddeItem name="AI[46].H.fix" advise="1">
        <values>
          <value>
            <val>0</val>
          </value>
        </values>
      </ddeItem>
      <ddeItem name="AI[46].H.V" advise="1">
        <values>
          <value>
            <val>0</val>
          </value>
        </values>
      </ddeItem>
      <ddeItem name="AI[46].HH.EN" advise="1">
        <values>
          <value>
            <val>0</val>
          </value>
        </values>
      </ddeItem>
      <ddeItem name="AI[46].HH.fix" advise="1">
        <values>
          <value>
            <val>0</val>
          </value>
        </values>
      </ddeItem>
      <ddeItem name="AI[46].HH.V" advise="1">
        <values>
          <value>
            <val>0</val>
          </value>
        </values>
      </ddeItem>
      <ddeItem name="AI[46].i" advise="1">
        <values>
          <value>
            <val>0</val>
          </value>
        </values>
      </ddeItem>
      <ddeItem name="AI[46].isCorrect" advise="1">
        <values>
          <value>
            <val>0</val>
          </value>
        </values>
      </ddeItem>
      <ddeItem name="AI[46].isCut" advise="1"/>
      <ddeItem name="AI[46].isForce" advise="1">
        <values>
          <value>
            <val>0</val>
          </value>
        </values>
      </ddeItem>
      <ddeItem name="AI[46].isInvScale" advise="1">
        <values>
          <value>
            <val>0</val>
          </value>
        </values>
      </ddeItem>
      <ddeItem name="AI[46].L.EN" advise="1">
        <values>
          <value>
            <val>0</val>
          </value>
        </values>
      </ddeItem>
      <ddeItem name="AI[46].L.fix" advise="1">
        <values>
          <value>
            <val>0</val>
          </value>
        </values>
      </ddeItem>
      <ddeItem name="AI[46].L.V" advise="1">
        <values>
          <value>
            <val>0</val>
          </value>
        </values>
      </ddeItem>
      <ddeItem name="AI[46].LL.EN" advise="1">
        <values>
          <value>
            <val>0</val>
          </value>
        </values>
      </ddeItem>
      <ddeItem name="AI[46].LL.fix" advise="1">
        <values>
          <value>
            <val>0</val>
          </value>
        </values>
      </ddeItem>
      <ddeItem name="AI[46].LL.V" advise="1">
        <values>
          <value>
            <val>0</val>
          </value>
        </values>
      </ddeItem>
      <ddeItem name="AI[46].RH.EN" advise="1">
        <values>
          <value>
            <val>0</val>
          </value>
        </values>
      </ddeItem>
      <ddeItem name="AI[46].RH.fix" advise="1">
        <values>
          <value>
            <val>0</val>
          </value>
        </values>
      </ddeItem>
      <ddeItem name="AI[46].RH.V" advise="1">
        <values>
          <value>
            <val>0</val>
          </value>
        </values>
      </ddeItem>
      <ddeItem name="AI[46].RL.EN" advise="1">
        <values>
          <value>
            <val>0</val>
          </value>
        </values>
      </ddeItem>
      <ddeItem name="AI[46].RL.fix" advise="1">
        <values>
          <value>
            <val>1</val>
          </value>
        </values>
      </ddeItem>
      <ddeItem name="AI[46].RL.V" advise="1">
        <values>
          <value>
            <val>0</val>
          </value>
        </values>
      </ddeItem>
      <ddeItem name="AI[46].state" advise="1">
        <values>
          <value>
            <val>4</val>
          </value>
        </values>
      </ddeItem>
      <ddeItem name="AI[46].v" advise="1">
        <values>
          <value>
            <val>0</val>
          </value>
        </values>
      </ddeItem>
      <ddeItem name="AI[46].vCorrect" advise="1"/>
      <ddeItem name="AI[46].vCut" advise="1"/>
      <ddeItem name="AI[46].vRaw" advise="1"/>
      <ddeItem name="AI[46].ZH" advise="1">
        <values>
          <value>
            <val>0</val>
          </value>
        </values>
      </ddeItem>
      <ddeItem name="AI[46].ZL" advise="1">
        <values>
          <value>
            <val>0</val>
          </value>
        </values>
      </ddeItem>
      <ddeItem name="AI[47].break.sgn" advise="1">
        <values>
          <value>
            <val>0</val>
          </value>
        </values>
      </ddeItem>
      <ddeItem name="AI[47].EN" advise="1">
        <values>
          <value>
            <val>0</val>
          </value>
        </values>
      </ddeItem>
      <ddeItem name="AI[47].group" advise="1">
        <values>
          <value>
            <val>3</val>
          </value>
        </values>
      </ddeItem>
      <ddeItem name="AI[47].H.EN" advise="1">
        <values>
          <value>
            <val>0</val>
          </value>
        </values>
      </ddeItem>
      <ddeItem name="AI[47].H.fix" advise="1">
        <values>
          <value>
            <val>0</val>
          </value>
        </values>
      </ddeItem>
      <ddeItem name="AI[47].H.V" advise="1">
        <values>
          <value>
            <val>0</val>
          </value>
        </values>
      </ddeItem>
      <ddeItem name="AI[47].HH.EN" advise="1">
        <values>
          <value>
            <val>0</val>
          </value>
        </values>
      </ddeItem>
      <ddeItem name="AI[47].HH.fix" advise="1">
        <values>
          <value>
            <val>0</val>
          </value>
        </values>
      </ddeItem>
      <ddeItem name="AI[47].HH.V" advise="1">
        <values>
          <value>
            <val>0</val>
          </value>
        </values>
      </ddeItem>
      <ddeItem name="AI[47].i" advise="1">
        <values>
          <value>
            <val>0</val>
          </value>
        </values>
      </ddeItem>
      <ddeItem name="AI[47].isCorrect" advise="1">
        <values>
          <value>
            <val>0</val>
          </value>
        </values>
      </ddeItem>
      <ddeItem name="AI[47].isCut" advise="1"/>
      <ddeItem name="AI[47].isForce" advise="1">
        <values>
          <value>
            <val>0</val>
          </value>
        </values>
      </ddeItem>
      <ddeItem name="AI[47].isInvScale" advise="1">
        <values>
          <value>
            <val>0</val>
          </value>
        </values>
      </ddeItem>
      <ddeItem name="AI[47].L.EN" advise="1">
        <values>
          <value>
            <val>0</val>
          </value>
        </values>
      </ddeItem>
      <ddeItem name="AI[47].L.fix" advise="1">
        <values>
          <value>
            <val>0</val>
          </value>
        </values>
      </ddeItem>
      <ddeItem name="AI[47].L.V" advise="1">
        <values>
          <value>
            <val>0</val>
          </value>
        </values>
      </ddeItem>
      <ddeItem name="AI[47].LL.EN" advise="1">
        <values>
          <value>
            <val>0</val>
          </value>
        </values>
      </ddeItem>
      <ddeItem name="AI[47].LL.fix" advise="1">
        <values>
          <value>
            <val>0</val>
          </value>
        </values>
      </ddeItem>
      <ddeItem name="AI[47].LL.V" advise="1">
        <values>
          <value>
            <val>0</val>
          </value>
        </values>
      </ddeItem>
      <ddeItem name="AI[47].RH.EN" advise="1">
        <values>
          <value>
            <val>0</val>
          </value>
        </values>
      </ddeItem>
      <ddeItem name="AI[47].RH.fix" advise="1">
        <values>
          <value>
            <val>0</val>
          </value>
        </values>
      </ddeItem>
      <ddeItem name="AI[47].RH.V" advise="1">
        <values>
          <value>
            <val>0</val>
          </value>
        </values>
      </ddeItem>
      <ddeItem name="AI[47].RL.EN" advise="1">
        <values>
          <value>
            <val>0</val>
          </value>
        </values>
      </ddeItem>
      <ddeItem name="AI[47].RL.fix" advise="1">
        <values>
          <value>
            <val>1</val>
          </value>
        </values>
      </ddeItem>
      <ddeItem name="AI[47].RL.V" advise="1">
        <values>
          <value>
            <val>0</val>
          </value>
        </values>
      </ddeItem>
      <ddeItem name="AI[47].state" advise="1">
        <values>
          <value>
            <val>4</val>
          </value>
        </values>
      </ddeItem>
      <ddeItem name="AI[47].v" advise="1">
        <values>
          <value>
            <val>0</val>
          </value>
        </values>
      </ddeItem>
      <ddeItem name="AI[47].vCorrect" advise="1"/>
      <ddeItem name="AI[47].vCut" advise="1"/>
      <ddeItem name="AI[47].vRaw" advise="1"/>
      <ddeItem name="AI[47].ZH" advise="1">
        <values>
          <value>
            <val>0</val>
          </value>
        </values>
      </ddeItem>
      <ddeItem name="AI[47].ZL" advise="1">
        <values>
          <value>
            <val>0</val>
          </value>
        </values>
      </ddeItem>
      <ddeItem name="AI[48].break.sgn" advise="1">
        <values>
          <value>
            <val>1</val>
          </value>
        </values>
      </ddeItem>
      <ddeItem name="AI[48].EN" advise="1">
        <values>
          <value>
            <val>1</val>
          </value>
        </values>
      </ddeItem>
      <ddeItem name="AI[48].group" advise="1">
        <values>
          <value>
            <val>2</val>
          </value>
        </values>
      </ddeItem>
      <ddeItem name="AI[48].H.EN" advise="1">
        <values>
          <value>
            <val>0</val>
          </value>
        </values>
      </ddeItem>
      <ddeItem name="AI[48].H.fix" advise="1">
        <values>
          <value>
            <val>0</val>
          </value>
        </values>
      </ddeItem>
      <ddeItem name="AI[48].H.V" advise="1">
        <values>
          <value>
            <val>0</val>
          </value>
        </values>
      </ddeItem>
      <ddeItem name="AI[48].HH.EN" advise="1">
        <values>
          <value>
            <val>0</val>
          </value>
        </values>
      </ddeItem>
      <ddeItem name="AI[48].HH.fix" advise="1">
        <values>
          <value>
            <val>0</val>
          </value>
        </values>
      </ddeItem>
      <ddeItem name="AI[48].HH.V" advise="1">
        <values>
          <value>
            <val>0</val>
          </value>
        </values>
      </ddeItem>
      <ddeItem name="AI[48].i" advise="1">
        <values>
          <value>
            <val>4.397392E-3</val>
          </value>
        </values>
      </ddeItem>
      <ddeItem name="AI[48].isCorrect" advise="1">
        <values>
          <value>
            <val>0</val>
          </value>
        </values>
      </ddeItem>
      <ddeItem name="AI[48].isCut" advise="1"/>
      <ddeItem name="AI[48].isForce" advise="1">
        <values>
          <value>
            <val>0</val>
          </value>
        </values>
      </ddeItem>
      <ddeItem name="AI[48].isInvScale" advise="1">
        <values>
          <value>
            <val>0</val>
          </value>
        </values>
      </ddeItem>
      <ddeItem name="AI[48].L.EN" advise="1">
        <values>
          <value>
            <val>0</val>
          </value>
        </values>
      </ddeItem>
      <ddeItem name="AI[48].L.fix" advise="1">
        <values>
          <value>
            <val>0</val>
          </value>
        </values>
      </ddeItem>
      <ddeItem name="AI[48].L.V" advise="1">
        <values>
          <value>
            <val>0</val>
          </value>
        </values>
      </ddeItem>
      <ddeItem name="AI[48].LL.EN" advise="1">
        <values>
          <value>
            <val>0</val>
          </value>
        </values>
      </ddeItem>
      <ddeItem name="AI[48].LL.fix" advise="1">
        <values>
          <value>
            <val>0</val>
          </value>
        </values>
      </ddeItem>
      <ddeItem name="AI[48].LL.V" advise="1">
        <values>
          <value>
            <val>0</val>
          </value>
        </values>
      </ddeItem>
      <ddeItem name="AI[48].RH.EN" advise="1">
        <values>
          <value>
            <val>1</val>
          </value>
        </values>
      </ddeItem>
      <ddeItem name="AI[48].RH.fix" advise="1">
        <values>
          <value>
            <val>0</val>
          </value>
        </values>
      </ddeItem>
      <ddeItem name="AI[48].RH.V" advise="1">
        <values>
          <value>
            <val>50</val>
          </value>
        </values>
      </ddeItem>
      <ddeItem name="AI[48].RL.EN" advise="1">
        <values>
          <value>
            <val>1</val>
          </value>
        </values>
      </ddeItem>
      <ddeItem name="AI[48].RL.fix" advise="1">
        <values>
          <value>
            <val>0</val>
          </value>
        </values>
      </ddeItem>
      <ddeItem name="AI[48].RL.V" advise="1">
        <values>
          <value>
            <val>30</val>
          </value>
        </values>
      </ddeItem>
      <ddeItem name="AI[48].state" advise="1">
        <values>
          <value>
            <val>4</val>
          </value>
        </values>
      </ddeItem>
      <ddeItem name="AI[48].v" advise="1">
        <values>
          <value>
            <val>0</val>
          </value>
        </values>
      </ddeItem>
      <ddeItem name="AI[48].vCorrect" advise="1"/>
      <ddeItem name="AI[48].vCut" advise="1"/>
      <ddeItem name="AI[48].vRaw" advise="1"/>
      <ddeItem name="AI[48].ZH" advise="1">
        <values>
          <value>
            <val>100</val>
          </value>
        </values>
      </ddeItem>
      <ddeItem name="AI[48].ZL" advise="1">
        <values>
          <value>
            <val>0</val>
          </value>
        </values>
      </ddeItem>
      <ddeItem name="AI[49].break.sgn" advise="1">
        <values>
          <value>
            <val>1</val>
          </value>
        </values>
      </ddeItem>
      <ddeItem name="AI[49].EN" advise="1">
        <values>
          <value>
            <val>1</val>
          </value>
        </values>
      </ddeItem>
      <ddeItem name="AI[49].group" advise="1">
        <values>
          <value>
            <val>2</val>
          </value>
        </values>
      </ddeItem>
      <ddeItem name="AI[49].H.EN" advise="1">
        <values>
          <value>
            <val>0</val>
          </value>
        </values>
      </ddeItem>
      <ddeItem name="AI[49].H.fix" advise="1">
        <values>
          <value>
            <val>0</val>
          </value>
        </values>
      </ddeItem>
      <ddeItem name="AI[49].H.V" advise="1">
        <values>
          <value>
            <val>0</val>
          </value>
        </values>
      </ddeItem>
      <ddeItem name="AI[49].HH.EN" advise="1">
        <values>
          <value>
            <val>0</val>
          </value>
        </values>
      </ddeItem>
      <ddeItem name="AI[49].HH.fix" advise="1">
        <values>
          <value>
            <val>0</val>
          </value>
        </values>
      </ddeItem>
      <ddeItem name="AI[49].HH.V" advise="1">
        <values>
          <value>
            <val>0</val>
          </value>
        </values>
      </ddeItem>
      <ddeItem name="AI[49].i" advise="1">
        <values>
          <value>
            <val>4.7111510000000002E-3</val>
          </value>
        </values>
      </ddeItem>
      <ddeItem name="AI[49].isCorrect" advise="1">
        <values>
          <value>
            <val>0</val>
          </value>
        </values>
      </ddeItem>
      <ddeItem name="AI[49].isCut" advise="1"/>
      <ddeItem name="AI[49].isForce" advise="1">
        <values>
          <value>
            <val>0</val>
          </value>
        </values>
      </ddeItem>
      <ddeItem name="AI[49].isInvScale" advise="1">
        <values>
          <value>
            <val>0</val>
          </value>
        </values>
      </ddeItem>
      <ddeItem name="AI[49].L.EN" advise="1">
        <values>
          <value>
            <val>0</val>
          </value>
        </values>
      </ddeItem>
      <ddeItem name="AI[49].L.fix" advise="1">
        <values>
          <value>
            <val>0</val>
          </value>
        </values>
      </ddeItem>
      <ddeItem name="AI[49].L.V" advise="1">
        <values>
          <value>
            <val>0</val>
          </value>
        </values>
      </ddeItem>
      <ddeItem name="AI[49].LL.EN" advise="1">
        <values>
          <value>
            <val>0</val>
          </value>
        </values>
      </ddeItem>
      <ddeItem name="AI[49].LL.fix" advise="1">
        <values>
          <value>
            <val>0</val>
          </value>
        </values>
      </ddeItem>
      <ddeItem name="AI[49].LL.V" advise="1">
        <values>
          <value>
            <val>0</val>
          </value>
        </values>
      </ddeItem>
      <ddeItem name="AI[49].RH.EN" advise="1">
        <values>
          <value>
            <val>1</val>
          </value>
        </values>
      </ddeItem>
      <ddeItem name="AI[49].RH.fix" advise="1">
        <values>
          <value>
            <val>0</val>
          </value>
        </values>
      </ddeItem>
      <ddeItem name="AI[49].RH.V" advise="1">
        <values>
          <value>
            <val>25</val>
          </value>
        </values>
      </ddeItem>
      <ddeItem name="AI[49].RL.EN" advise="1">
        <values>
          <value>
            <val>1</val>
          </value>
        </values>
      </ddeItem>
      <ddeItem name="AI[49].RL.fix" advise="1">
        <values>
          <value>
            <val>0</val>
          </value>
        </values>
      </ddeItem>
      <ddeItem name="AI[49].RL.V" advise="1">
        <values>
          <value>
            <val>18</val>
          </value>
        </values>
      </ddeItem>
      <ddeItem name="AI[49].state" advise="1">
        <values>
          <value>
            <val>4</val>
          </value>
        </values>
      </ddeItem>
      <ddeItem name="AI[49].v" advise="1">
        <values>
          <value>
            <val>0</val>
          </value>
        </values>
      </ddeItem>
      <ddeItem name="AI[49].vCorrect" advise="1"/>
      <ddeItem name="AI[49].vCut" advise="1"/>
      <ddeItem name="AI[49].vRaw" advise="1"/>
      <ddeItem name="AI[49].ZH" advise="1">
        <values>
          <value>
            <val>60</val>
          </value>
        </values>
      </ddeItem>
      <ddeItem name="AI[49].ZL" advise="1">
        <values>
          <value>
            <val>0</val>
          </value>
        </values>
      </ddeItem>
      <ddeItem name="AI[5].break.sgn" advise="1">
        <values>
          <value>
            <val>1</val>
          </value>
        </values>
      </ddeItem>
      <ddeItem name="AI[5].EN" advise="1">
        <values>
          <value>
            <val>1</val>
          </value>
        </values>
      </ddeItem>
      <ddeItem name="AI[5].group" advise="1">
        <values>
          <value>
            <val>1</val>
          </value>
        </values>
      </ddeItem>
      <ddeItem name="AI[5].H.EN" advise="1">
        <values>
          <value>
            <val>0</val>
          </value>
        </values>
      </ddeItem>
      <ddeItem name="AI[5].H.fix" advise="1">
        <values>
          <value>
            <val>0</val>
          </value>
        </values>
      </ddeItem>
      <ddeItem name="AI[5].H.V" advise="1">
        <values>
          <value>
            <val>0</val>
          </value>
        </values>
      </ddeItem>
      <ddeItem name="AI[5].HH.EN" advise="1">
        <values>
          <value>
            <val>0</val>
          </value>
        </values>
      </ddeItem>
      <ddeItem name="AI[5].HH.fix" advise="1">
        <values>
          <value>
            <val>0</val>
          </value>
        </values>
      </ddeItem>
      <ddeItem name="AI[5].HH.V" advise="1">
        <values>
          <value>
            <val>0</val>
          </value>
        </values>
      </ddeItem>
      <ddeItem name="AI[5].i" advise="1">
        <values>
          <value>
            <val>4.397392E-3</val>
          </value>
        </values>
      </ddeItem>
      <ddeItem name="AI[5].isCorrect" advise="1">
        <values>
          <value>
            <val>0</val>
          </value>
        </values>
      </ddeItem>
      <ddeItem name="AI[5].isCut" advise="1"/>
      <ddeItem name="AI[5].isForce" advise="1">
        <values>
          <value>
            <val>0</val>
          </value>
        </values>
      </ddeItem>
      <ddeItem name="AI[5].isInvScale" advise="1">
        <values>
          <value>
            <val>0</val>
          </value>
        </values>
      </ddeItem>
      <ddeItem name="AI[5].L.EN" advise="1">
        <values>
          <value>
            <val>0</val>
          </value>
        </values>
      </ddeItem>
      <ddeItem name="AI[5].L.fix" advise="1">
        <values>
          <value>
            <val>0</val>
          </value>
        </values>
      </ddeItem>
      <ddeItem name="AI[5].L.V" advise="1">
        <values>
          <value>
            <val>0</val>
          </value>
        </values>
      </ddeItem>
      <ddeItem name="AI[5].LL.EN" advise="1">
        <values>
          <value>
            <val>0</val>
          </value>
        </values>
      </ddeItem>
      <ddeItem name="AI[5].LL.fix" advise="1">
        <values>
          <value>
            <val>0</val>
          </value>
        </values>
      </ddeItem>
      <ddeItem name="AI[5].LL.V" advise="1">
        <values>
          <value>
            <val>0</val>
          </value>
        </values>
      </ddeItem>
      <ddeItem name="AI[5].RH.EN" advise="1">
        <values>
          <value>
            <val>1</val>
          </value>
        </values>
      </ddeItem>
      <ddeItem name="AI[5].RH.fix" advise="1">
        <values>
          <value>
            <val>0</val>
          </value>
        </values>
      </ddeItem>
      <ddeItem name="AI[5].RH.V" advise="1">
        <values>
          <value>
            <val>60</val>
          </value>
        </values>
      </ddeItem>
      <ddeItem name="AI[5].RL.EN" advise="1">
        <values>
          <value>
            <val>1</val>
          </value>
        </values>
      </ddeItem>
      <ddeItem name="AI[5].RL.fix" advise="1">
        <values>
          <value>
            <val>0</val>
          </value>
        </values>
      </ddeItem>
      <ddeItem name="AI[5].RL.V" advise="1">
        <values>
          <value>
            <val>27</val>
          </value>
        </values>
      </ddeItem>
      <ddeItem name="AI[5].state" advise="1">
        <values>
          <value>
            <val>4</val>
          </value>
        </values>
      </ddeItem>
      <ddeItem name="AI[5].v" advise="1">
        <values>
          <value>
            <val>0</val>
          </value>
        </values>
      </ddeItem>
      <ddeItem name="AI[5].vCorrect" advise="1"/>
      <ddeItem name="AI[5].vCut" advise="1"/>
      <ddeItem name="AI[5].vRaw" advise="1"/>
      <ddeItem name="AI[5].ZH" advise="1">
        <values>
          <value>
            <val>75</val>
          </value>
        </values>
      </ddeItem>
      <ddeItem name="AI[5].ZL" advise="1">
        <values>
          <value>
            <val>0</val>
          </value>
        </values>
      </ddeItem>
      <ddeItem name="AI[50].break.sgn" advise="1">
        <values>
          <value>
            <val>1</val>
          </value>
        </values>
      </ddeItem>
      <ddeItem name="AI[50].EN" advise="1">
        <values>
          <value>
            <val>1</val>
          </value>
        </values>
      </ddeItem>
      <ddeItem name="AI[50].group" advise="1">
        <values>
          <value>
            <val>2</val>
          </value>
        </values>
      </ddeItem>
      <ddeItem name="AI[50].H.EN" advise="1">
        <values>
          <value>
            <val>0</val>
          </value>
        </values>
      </ddeItem>
      <ddeItem name="AI[50].H.fix" advise="1">
        <values>
          <value>
            <val>0</val>
          </value>
        </values>
      </ddeItem>
      <ddeItem name="AI[50].H.V" advise="1">
        <values>
          <value>
            <val>0</val>
          </value>
        </values>
      </ddeItem>
      <ddeItem name="AI[50].HH.EN" advise="1">
        <values>
          <value>
            <val>0</val>
          </value>
        </values>
      </ddeItem>
      <ddeItem name="AI[50].HH.fix" advise="1">
        <values>
          <value>
            <val>0</val>
          </value>
        </values>
      </ddeItem>
      <ddeItem name="AI[50].HH.V" advise="1">
        <values>
          <value>
            <val>0</val>
          </value>
        </values>
      </ddeItem>
      <ddeItem name="AI[50].i" advise="1">
        <values>
          <value>
            <val>4.7111510000000002E-3</val>
          </value>
        </values>
      </ddeItem>
      <ddeItem name="AI[50].isCorrect" advise="1">
        <values>
          <value>
            <val>0</val>
          </value>
        </values>
      </ddeItem>
      <ddeItem name="AI[50].isCut" advise="1"/>
      <ddeItem name="AI[50].isForce" advise="1">
        <values>
          <value>
            <val>0</val>
          </value>
        </values>
      </ddeItem>
      <ddeItem name="AI[50].isInvScale" advise="1">
        <values>
          <value>
            <val>0</val>
          </value>
        </values>
      </ddeItem>
      <ddeItem name="AI[50].L.EN" advise="1">
        <values>
          <value>
            <val>0</val>
          </value>
        </values>
      </ddeItem>
      <ddeItem name="AI[50].L.fix" advise="1">
        <values>
          <value>
            <val>0</val>
          </value>
        </values>
      </ddeItem>
      <ddeItem name="AI[50].L.V" advise="1">
        <values>
          <value>
            <val>0</val>
          </value>
        </values>
      </ddeItem>
      <ddeItem name="AI[50].LL.EN" advise="1">
        <values>
          <value>
            <val>0</val>
          </value>
        </values>
      </ddeItem>
      <ddeItem name="AI[50].LL.fix" advise="1">
        <values>
          <value>
            <val>0</val>
          </value>
        </values>
      </ddeItem>
      <ddeItem name="AI[50].LL.V" advise="1">
        <values>
          <value>
            <val>0</val>
          </value>
        </values>
      </ddeItem>
      <ddeItem name="AI[50].RH.EN" advise="1">
        <values>
          <value>
            <val>1</val>
          </value>
        </values>
      </ddeItem>
      <ddeItem name="AI[50].RH.fix" advise="1">
        <values>
          <value>
            <val>0</val>
          </value>
        </values>
      </ddeItem>
      <ddeItem name="AI[50].RH.V" advise="1">
        <values>
          <value>
            <val>100</val>
          </value>
        </values>
      </ddeItem>
      <ddeItem name="AI[50].RL.EN" advise="1">
        <values>
          <value>
            <val>1</val>
          </value>
        </values>
      </ddeItem>
      <ddeItem name="AI[50].RL.fix" advise="1">
        <values>
          <value>
            <val>0</val>
          </value>
        </values>
      </ddeItem>
      <ddeItem name="AI[50].RL.V" advise="1">
        <values>
          <value>
            <val>30</val>
          </value>
        </values>
      </ddeItem>
      <ddeItem name="AI[50].state" advise="1">
        <values>
          <value>
            <val>4</val>
          </value>
        </values>
      </ddeItem>
      <ddeItem name="AI[50].v" advise="1">
        <values>
          <value>
            <val>0</val>
          </value>
        </values>
      </ddeItem>
      <ddeItem name="AI[50].vCorrect" advise="1"/>
      <ddeItem name="AI[50].vCut" advise="1"/>
      <ddeItem name="AI[50].vRaw" advise="1"/>
      <ddeItem name="AI[50].ZH" advise="1">
        <values>
          <value>
            <val>400</val>
          </value>
        </values>
      </ddeItem>
      <ddeItem name="AI[50].ZL" advise="1">
        <values>
          <value>
            <val>0</val>
          </value>
        </values>
      </ddeItem>
      <ddeItem name="AI[51].break.sgn" advise="1">
        <values>
          <value>
            <val>0</val>
          </value>
        </values>
      </ddeItem>
      <ddeItem name="AI[51].EN" advise="1">
        <values>
          <value>
            <val>1</val>
          </value>
        </values>
      </ddeItem>
      <ddeItem name="AI[51].group" advise="1">
        <values>
          <value>
            <val>2</val>
          </value>
        </values>
      </ddeItem>
      <ddeItem name="AI[51].H.EN" advise="1">
        <values>
          <value>
            <val>1</val>
          </value>
        </values>
      </ddeItem>
      <ddeItem name="AI[51].H.fix" advise="1">
        <values>
          <value>
            <val>0</val>
          </value>
        </values>
      </ddeItem>
      <ddeItem name="AI[51].H.V" advise="1">
        <values>
          <value>
            <val>55</val>
          </value>
        </values>
      </ddeItem>
      <ddeItem name="AI[51].HH.EN" advise="1">
        <values>
          <value>
            <val>0</val>
          </value>
        </values>
      </ddeItem>
      <ddeItem name="AI[51].HH.fix" advise="1">
        <values>
          <value>
            <val>0</val>
          </value>
        </values>
      </ddeItem>
      <ddeItem name="AI[51].HH.V" advise="1">
        <values>
          <value>
            <val>0</val>
          </value>
        </values>
      </ddeItem>
      <ddeItem name="AI[51].i" advise="1">
        <values>
          <value>
            <val>4.0150759999999996</val>
          </value>
        </values>
      </ddeItem>
      <ddeItem name="AI[51].isCorrect" advise="1">
        <values>
          <value>
            <val>0</val>
          </value>
        </values>
      </ddeItem>
      <ddeItem name="AI[51].isCut" advise="1"/>
      <ddeItem name="AI[51].isForce" advise="1">
        <values>
          <value>
            <val>0</val>
          </value>
        </values>
      </ddeItem>
      <ddeItem name="AI[51].isInvScale" advise="1">
        <values>
          <value>
            <val>0</val>
          </value>
        </values>
      </ddeItem>
      <ddeItem name="AI[51].L.EN" advise="1">
        <values>
          <value>
            <val>1</val>
          </value>
        </values>
      </ddeItem>
      <ddeItem name="AI[51].L.fix" advise="1">
        <values>
          <value>
            <val>1</val>
          </value>
        </values>
      </ddeItem>
      <ddeItem name="AI[51].L.V" advise="1">
        <values>
          <value>
            <val>10</val>
          </value>
        </values>
      </ddeItem>
      <ddeItem name="AI[51].LL.EN" advise="1">
        <values>
          <value>
            <val>0</val>
          </value>
        </values>
      </ddeItem>
      <ddeItem name="AI[51].LL.fix" advise="1">
        <values>
          <value>
            <val>0</val>
          </value>
        </values>
      </ddeItem>
      <ddeItem name="AI[51].LL.V" advise="1">
        <values>
          <value>
            <val>0</val>
          </value>
        </values>
      </ddeItem>
      <ddeItem name="AI[51].RH.EN" advise="1">
        <values>
          <value>
            <val>1</val>
          </value>
        </values>
      </ddeItem>
      <ddeItem name="AI[51].RH.fix" advise="1">
        <values>
          <value>
            <val>0</val>
          </value>
        </values>
      </ddeItem>
      <ddeItem name="AI[51].RH.V" advise="1">
        <values>
          <value>
            <val>40</val>
          </value>
        </values>
      </ddeItem>
      <ddeItem name="AI[51].RL.EN" advise="1">
        <values>
          <value>
            <val>1</val>
          </value>
        </values>
      </ddeItem>
      <ddeItem name="AI[51].RL.fix" advise="1">
        <values>
          <value>
            <val>1</val>
          </value>
        </values>
      </ddeItem>
      <ddeItem name="AI[51].RL.V" advise="1">
        <values>
          <value>
            <val>15</val>
          </value>
        </values>
      </ddeItem>
      <ddeItem name="AI[51].state" advise="1">
        <values>
          <value>
            <val>2</val>
          </value>
        </values>
      </ddeItem>
      <ddeItem name="AI[51].v" advise="1">
        <values>
          <value>
            <val>0</val>
          </value>
        </values>
      </ddeItem>
      <ddeItem name="AI[51].vCorrect" advise="1"/>
      <ddeItem name="AI[51].vCut" advise="1"/>
      <ddeItem name="AI[51].vRaw" advise="1"/>
      <ddeItem name="AI[51].ZH" advise="1">
        <values>
          <value>
            <val>100</val>
          </value>
        </values>
      </ddeItem>
      <ddeItem name="AI[51].ZL" advise="1">
        <values>
          <value>
            <val>0</val>
          </value>
        </values>
      </ddeItem>
      <ddeItem name="AI[52].break.sgn" advise="1">
        <values>
          <value>
            <val>0</val>
          </value>
        </values>
      </ddeItem>
      <ddeItem name="AI[52].EN" advise="1">
        <values>
          <value>
            <val>1</val>
          </value>
        </values>
      </ddeItem>
      <ddeItem name="AI[52].group" advise="1">
        <values>
          <value>
            <val>2</val>
          </value>
        </values>
      </ddeItem>
      <ddeItem name="AI[52].H.EN" advise="1">
        <values>
          <value>
            <val>1</val>
          </value>
        </values>
      </ddeItem>
      <ddeItem name="AI[52].H.fix" advise="1">
        <values>
          <value>
            <val>0</val>
          </value>
        </values>
      </ddeItem>
      <ddeItem name="AI[52].H.V" advise="1">
        <values>
          <value>
            <val>60</val>
          </value>
        </values>
      </ddeItem>
      <ddeItem name="AI[52].HH.EN" advise="1">
        <values>
          <value>
            <val>0</val>
          </value>
        </values>
      </ddeItem>
      <ddeItem name="AI[52].HH.fix" advise="1">
        <values>
          <value>
            <val>0</val>
          </value>
        </values>
      </ddeItem>
      <ddeItem name="AI[52].HH.V" advise="1">
        <values>
          <value>
            <val>0</val>
          </value>
        </values>
      </ddeItem>
      <ddeItem name="AI[52].i" advise="1">
        <values>
          <value>
            <val>4.0080410000000004</val>
          </value>
        </values>
      </ddeItem>
      <ddeItem name="AI[52].isCorrect" advise="1">
        <values>
          <value>
            <val>0</val>
          </value>
        </values>
      </ddeItem>
      <ddeItem name="AI[52].isCut" advise="1"/>
      <ddeItem name="AI[52].isForce" advise="1">
        <values>
          <value>
            <val>0</val>
          </value>
        </values>
      </ddeItem>
      <ddeItem name="AI[52].isInvScale" advise="1">
        <values>
          <value>
            <val>0</val>
          </value>
        </values>
      </ddeItem>
      <ddeItem name="AI[52].L.EN" advise="1">
        <values>
          <value>
            <val>1</val>
          </value>
        </values>
      </ddeItem>
      <ddeItem name="AI[52].L.fix" advise="1">
        <values>
          <value>
            <val>1</val>
          </value>
        </values>
      </ddeItem>
      <ddeItem name="AI[52].L.V" advise="1">
        <values>
          <value>
            <val>10</val>
          </value>
        </values>
      </ddeItem>
      <ddeItem name="AI[52].LL.EN" advise="1">
        <values>
          <value>
            <val>0</val>
          </value>
        </values>
      </ddeItem>
      <ddeItem name="AI[52].LL.fix" advise="1">
        <values>
          <value>
            <val>0</val>
          </value>
        </values>
      </ddeItem>
      <ddeItem name="AI[52].LL.V" advise="1">
        <values>
          <value>
            <val>0</val>
          </value>
        </values>
      </ddeItem>
      <ddeItem name="AI[52].RH.EN" advise="1">
        <values>
          <value>
            <val>1</val>
          </value>
        </values>
      </ddeItem>
      <ddeItem name="AI[52].RH.fix" advise="1">
        <values>
          <value>
            <val>0</val>
          </value>
        </values>
      </ddeItem>
      <ddeItem name="AI[52].RH.V" advise="1">
        <values>
          <value>
            <val>60</val>
          </value>
        </values>
      </ddeItem>
      <ddeItem name="AI[52].RL.EN" advise="1">
        <values>
          <value>
            <val>1</val>
          </value>
        </values>
      </ddeItem>
      <ddeItem name="AI[52].RL.fix" advise="1">
        <values>
          <value>
            <val>1</val>
          </value>
        </values>
      </ddeItem>
      <ddeItem name="AI[52].RL.V" advise="1">
        <values>
          <value>
            <val>10</val>
          </value>
        </values>
      </ddeItem>
      <ddeItem name="AI[52].state" advise="1">
        <values>
          <value>
            <val>2</val>
          </value>
        </values>
      </ddeItem>
      <ddeItem name="AI[52].v" advise="1">
        <values>
          <value>
            <val>0</val>
          </value>
        </values>
      </ddeItem>
      <ddeItem name="AI[52].vCorrect" advise="1"/>
      <ddeItem name="AI[52].vCut" advise="1"/>
      <ddeItem name="AI[52].vRaw" advise="1"/>
      <ddeItem name="AI[52].ZH" advise="1">
        <values>
          <value>
            <val>100</val>
          </value>
        </values>
      </ddeItem>
      <ddeItem name="AI[52].ZL" advise="1">
        <values>
          <value>
            <val>0</val>
          </value>
        </values>
      </ddeItem>
      <ddeItem name="AI[53].break.sgn" advise="1">
        <values>
          <value>
            <val>1</val>
          </value>
        </values>
      </ddeItem>
      <ddeItem name="AI[53].EN" advise="1">
        <values>
          <value>
            <val>1</val>
          </value>
        </values>
      </ddeItem>
      <ddeItem name="AI[53].group" advise="1">
        <values>
          <value>
            <val>2</val>
          </value>
        </values>
      </ddeItem>
      <ddeItem name="AI[53].H.EN" advise="1">
        <values>
          <value>
            <val>0</val>
          </value>
        </values>
      </ddeItem>
      <ddeItem name="AI[53].H.fix" advise="1">
        <values>
          <value>
            <val>0</val>
          </value>
        </values>
      </ddeItem>
      <ddeItem name="AI[53].H.V" advise="1">
        <values>
          <value>
            <val>0</val>
          </value>
        </values>
      </ddeItem>
      <ddeItem name="AI[53].HH.EN" advise="1">
        <values>
          <value>
            <val>0</val>
          </value>
        </values>
      </ddeItem>
      <ddeItem name="AI[53].HH.fix" advise="1">
        <values>
          <value>
            <val>0</val>
          </value>
        </values>
      </ddeItem>
      <ddeItem name="AI[53].HH.V" advise="1">
        <values>
          <value>
            <val>0</val>
          </value>
        </values>
      </ddeItem>
      <ddeItem name="AI[53].i" advise="1">
        <values>
          <value>
            <val>2.8266910000000001E-3</val>
          </value>
        </values>
      </ddeItem>
      <ddeItem name="AI[53].isCorrect" advise="1">
        <values>
          <value>
            <val>0</val>
          </value>
        </values>
      </ddeItem>
      <ddeItem name="AI[53].isCut" advise="1"/>
      <ddeItem name="AI[53].isForce" advise="1">
        <values>
          <value>
            <val>0</val>
          </value>
        </values>
      </ddeItem>
      <ddeItem name="AI[53].isInvScale" advise="1">
        <values>
          <value>
            <val>0</val>
          </value>
        </values>
      </ddeItem>
      <ddeItem name="AI[53].L.EN" advise="1">
        <values>
          <value>
            <val>0</val>
          </value>
        </values>
      </ddeItem>
      <ddeItem name="AI[53].L.fix" advise="1">
        <values>
          <value>
            <val>0</val>
          </value>
        </values>
      </ddeItem>
      <ddeItem name="AI[53].L.V" advise="1">
        <values>
          <value>
            <val>0</val>
          </value>
        </values>
      </ddeItem>
      <ddeItem name="AI[53].LL.EN" advise="1">
        <values>
          <value>
            <val>0</val>
          </value>
        </values>
      </ddeItem>
      <ddeItem name="AI[53].LL.fix" advise="1">
        <values>
          <value>
            <val>0</val>
          </value>
        </values>
      </ddeItem>
      <ddeItem name="AI[53].LL.V" advise="1">
        <values>
          <value>
            <val>0</val>
          </value>
        </values>
      </ddeItem>
      <ddeItem name="AI[53].RH.EN" advise="1">
        <values>
          <value>
            <val>1</val>
          </value>
        </values>
      </ddeItem>
      <ddeItem name="AI[53].RH.fix" advise="1">
        <values>
          <value>
            <val>0</val>
          </value>
        </values>
      </ddeItem>
      <ddeItem name="AI[53].RH.V" advise="1">
        <values>
          <value>
            <val>60</val>
          </value>
        </values>
      </ddeItem>
      <ddeItem name="AI[53].RL.EN" advise="1">
        <values>
          <value>
            <val>1</val>
          </value>
        </values>
      </ddeItem>
      <ddeItem name="AI[53].RL.fix" advise="1">
        <values>
          <value>
            <val>0</val>
          </value>
        </values>
      </ddeItem>
      <ddeItem name="AI[53].RL.V" advise="1">
        <values>
          <value>
            <val>27</val>
          </value>
        </values>
      </ddeItem>
      <ddeItem name="AI[53].state" advise="1">
        <values>
          <value>
            <val>4</val>
          </value>
        </values>
      </ddeItem>
      <ddeItem name="AI[53].v" advise="1">
        <values>
          <value>
            <val>0</val>
          </value>
        </values>
      </ddeItem>
      <ddeItem name="AI[53].vCorrect" advise="1"/>
      <ddeItem name="AI[53].vCut" advise="1"/>
      <ddeItem name="AI[53].vRaw" advise="1"/>
      <ddeItem name="AI[53].ZH" advise="1">
        <values>
          <value>
            <val>75</val>
          </value>
        </values>
      </ddeItem>
      <ddeItem name="AI[53].ZL" advise="1">
        <values>
          <value>
            <val>0</val>
          </value>
        </values>
      </ddeItem>
      <ddeItem name="AI[54].break.sgn" advise="1">
        <values>
          <value>
            <val>1</val>
          </value>
        </values>
      </ddeItem>
      <ddeItem name="AI[54].EN" advise="1">
        <values>
          <value>
            <val>1</val>
          </value>
        </values>
      </ddeItem>
      <ddeItem name="AI[54].group" advise="1">
        <values>
          <value>
            <val>2</val>
          </value>
        </values>
      </ddeItem>
      <ddeItem name="AI[54].H.EN" advise="1">
        <values>
          <value>
            <val>0</val>
          </value>
        </values>
      </ddeItem>
      <ddeItem name="AI[54].H.fix" advise="1">
        <values>
          <value>
            <val>0</val>
          </value>
        </values>
      </ddeItem>
      <ddeItem name="AI[54].H.V" advise="1">
        <values>
          <value>
            <val>0</val>
          </value>
        </values>
      </ddeItem>
      <ddeItem name="AI[54].HH.EN" advise="1">
        <values>
          <value>
            <val>0</val>
          </value>
        </values>
      </ddeItem>
      <ddeItem name="AI[54].HH.fix" advise="1">
        <values>
          <value>
            <val>0</val>
          </value>
        </values>
      </ddeItem>
      <ddeItem name="AI[54].HH.V" advise="1">
        <values>
          <value>
            <val>0</val>
          </value>
        </values>
      </ddeItem>
      <ddeItem name="AI[54].i" advise="1">
        <values>
          <value>
            <val>2.8266910000000001E-3</val>
          </value>
        </values>
      </ddeItem>
      <ddeItem name="AI[54].isCorrect" advise="1">
        <values>
          <value>
            <val>0</val>
          </value>
        </values>
      </ddeItem>
      <ddeItem name="AI[54].isCut" advise="1"/>
      <ddeItem name="AI[54].isForce" advise="1">
        <values>
          <value>
            <val>0</val>
          </value>
        </values>
      </ddeItem>
      <ddeItem name="AI[54].isInvScale" advise="1">
        <values>
          <value>
            <val>0</val>
          </value>
        </values>
      </ddeItem>
      <ddeItem name="AI[54].L.EN" advise="1">
        <values>
          <value>
            <val>0</val>
          </value>
        </values>
      </ddeItem>
      <ddeItem name="AI[54].L.fix" advise="1">
        <values>
          <value>
            <val>0</val>
          </value>
        </values>
      </ddeItem>
      <ddeItem name="AI[54].L.V" advise="1">
        <values>
          <value>
            <val>0</val>
          </value>
        </values>
      </ddeItem>
      <ddeItem name="AI[54].LL.EN" advise="1">
        <values>
          <value>
            <val>0</val>
          </value>
        </values>
      </ddeItem>
      <ddeItem name="AI[54].LL.fix" advise="1">
        <values>
          <value>
            <val>0</val>
          </value>
        </values>
      </ddeItem>
      <ddeItem name="AI[54].LL.V" advise="1">
        <values>
          <value>
            <val>0</val>
          </value>
        </values>
      </ddeItem>
      <ddeItem name="AI[54].RH.EN" advise="1">
        <values>
          <value>
            <val>1</val>
          </value>
        </values>
      </ddeItem>
      <ddeItem name="AI[54].RH.fix" advise="1">
        <values>
          <value>
            <val>0</val>
          </value>
        </values>
      </ddeItem>
      <ddeItem name="AI[54].RH.V" advise="1">
        <values>
          <value>
            <val>1630</val>
          </value>
        </values>
      </ddeItem>
      <ddeItem name="AI[54].RL.EN" advise="1">
        <values>
          <value>
            <val>1</val>
          </value>
        </values>
      </ddeItem>
      <ddeItem name="AI[54].RL.fix" advise="1">
        <values>
          <value>
            <val>0</val>
          </value>
        </values>
      </ddeItem>
      <ddeItem name="AI[54].RL.V" advise="1">
        <values>
          <value>
            <val>0</val>
          </value>
        </values>
      </ddeItem>
      <ddeItem name="AI[54].state" advise="1">
        <values>
          <value>
            <val>4</val>
          </value>
        </values>
      </ddeItem>
      <ddeItem name="AI[54].v" advise="1">
        <values>
          <value>
            <val>0</val>
          </value>
        </values>
      </ddeItem>
      <ddeItem name="AI[54].vCorrect" advise="1"/>
      <ddeItem name="AI[54].vCut" advise="1"/>
      <ddeItem name="AI[54].vRaw" advise="1"/>
      <ddeItem name="AI[54].ZH" advise="1">
        <values>
          <value>
            <val>2000</val>
          </value>
        </values>
      </ddeItem>
      <ddeItem name="AI[54].ZL" advise="1">
        <values>
          <value>
            <val>0</val>
          </value>
        </values>
      </ddeItem>
      <ddeItem name="AI[55].break.sgn" advise="1">
        <values>
          <value>
            <val>1</val>
          </value>
        </values>
      </ddeItem>
      <ddeItem name="AI[55].EN" advise="1">
        <values>
          <value>
            <val>1</val>
          </value>
        </values>
      </ddeItem>
      <ddeItem name="AI[55].group" advise="1">
        <values>
          <value>
            <val>2</val>
          </value>
        </values>
      </ddeItem>
      <ddeItem name="AI[55].H.EN" advise="1">
        <values>
          <value>
            <val>1</val>
          </value>
        </values>
      </ddeItem>
      <ddeItem name="AI[55].H.fix" advise="1">
        <values>
          <value>
            <val>0</val>
          </value>
        </values>
      </ddeItem>
      <ddeItem name="AI[55].H.V" advise="1">
        <values>
          <value>
            <val>170</val>
          </value>
        </values>
      </ddeItem>
      <ddeItem name="AI[55].HH.EN" advise="1">
        <values>
          <value>
            <val>1</val>
          </value>
        </values>
      </ddeItem>
      <ddeItem name="AI[55].HH.fix" advise="1">
        <values>
          <value>
            <val>0</val>
          </value>
        </values>
      </ddeItem>
      <ddeItem name="AI[55].HH.V" advise="1">
        <values>
          <value>
            <val>240</val>
          </value>
        </values>
      </ddeItem>
      <ddeItem name="AI[55].i" advise="1">
        <values>
          <value>
            <val>2.8266910000000001E-3</val>
          </value>
        </values>
      </ddeItem>
      <ddeItem name="AI[55].isCorrect" advise="1">
        <values>
          <value>
            <val>0</val>
          </value>
        </values>
      </ddeItem>
      <ddeItem name="AI[55].isCut" advise="1"/>
      <ddeItem name="AI[55].isForce" advise="1">
        <values>
          <value>
            <val>0</val>
          </value>
        </values>
      </ddeItem>
      <ddeItem name="AI[55].isInvScale" advise="1">
        <values>
          <value>
            <val>0</val>
          </value>
        </values>
      </ddeItem>
      <ddeItem name="AI[55].L.EN" advise="1">
        <values>
          <value>
            <val>0</val>
          </value>
        </values>
      </ddeItem>
      <ddeItem name="AI[55].L.fix" advise="1">
        <values>
          <value>
            <val>0</val>
          </value>
        </values>
      </ddeItem>
      <ddeItem name="AI[55].L.V" advise="1">
        <values>
          <value>
            <val>0</val>
          </value>
        </values>
      </ddeItem>
      <ddeItem name="AI[55].LL.EN" advise="1">
        <values>
          <value>
            <val>0</val>
          </value>
        </values>
      </ddeItem>
      <ddeItem name="AI[55].LL.fix" advise="1">
        <values>
          <value>
            <val>0</val>
          </value>
        </values>
      </ddeItem>
      <ddeItem name="AI[55].LL.V" advise="1">
        <values>
          <value>
            <val>0</val>
          </value>
        </values>
      </ddeItem>
      <ddeItem name="AI[55].RH.EN" advise="1">
        <values>
          <value>
            <val>1</val>
          </value>
        </values>
      </ddeItem>
      <ddeItem name="AI[55].RH.fix" advise="1">
        <values>
          <value>
            <val>0</val>
          </value>
        </values>
      </ddeItem>
      <ddeItem name="AI[55].RH.V" advise="1">
        <values>
          <value>
            <val>240</val>
          </value>
        </values>
      </ddeItem>
      <ddeItem name="AI[55].RL.EN" advise="1">
        <values>
          <value>
            <val>1</val>
          </value>
        </values>
      </ddeItem>
      <ddeItem name="AI[55].RL.fix" advise="1">
        <values>
          <value>
            <val>0</val>
          </value>
        </values>
      </ddeItem>
      <ddeItem name="AI[55].RL.V" advise="1">
        <values>
          <value>
            <val>0</val>
          </value>
        </values>
      </ddeItem>
      <ddeItem name="AI[55].state" advise="1">
        <values>
          <value>
            <val>4</val>
          </value>
        </values>
      </ddeItem>
      <ddeItem name="AI[55].v" advise="1">
        <values>
          <value>
            <val>0</val>
          </value>
        </values>
      </ddeItem>
      <ddeItem name="AI[55].vCorrect" advise="1"/>
      <ddeItem name="AI[55].vCut" advise="1"/>
      <ddeItem name="AI[55].vRaw" advise="1"/>
      <ddeItem name="AI[55].ZH" advise="1">
        <values>
          <value>
            <val>300</val>
          </value>
        </values>
      </ddeItem>
      <ddeItem name="AI[55].ZL" advise="1">
        <values>
          <value>
            <val>0</val>
          </value>
        </values>
      </ddeItem>
      <ddeItem name="AI[56].break.sgn" advise="1">
        <values>
          <value>
            <val>1</val>
          </value>
        </values>
      </ddeItem>
      <ddeItem name="AI[56].EN" advise="1">
        <values>
          <value>
            <val>1</val>
          </value>
        </values>
      </ddeItem>
      <ddeItem name="AI[56].group" advise="1">
        <values>
          <value>
            <val>2</val>
          </value>
        </values>
      </ddeItem>
      <ddeItem name="AI[56].H.EN" advise="1">
        <values>
          <value>
            <val>0</val>
          </value>
        </values>
      </ddeItem>
      <ddeItem name="AI[56].H.fix" advise="1">
        <values>
          <value>
            <val>0</val>
          </value>
        </values>
      </ddeItem>
      <ddeItem name="AI[56].H.V" advise="1">
        <values>
          <value>
            <val>0</val>
          </value>
        </values>
      </ddeItem>
      <ddeItem name="AI[56].HH.EN" advise="1">
        <values>
          <value>
            <val>0</val>
          </value>
        </values>
      </ddeItem>
      <ddeItem name="AI[56].HH.fix" advise="1">
        <values>
          <value>
            <val>0</val>
          </value>
        </values>
      </ddeItem>
      <ddeItem name="AI[56].HH.V" advise="1">
        <values>
          <value>
            <val>0</val>
          </value>
        </values>
      </ddeItem>
      <ddeItem name="AI[56].i" advise="1">
        <values>
          <value>
            <val>2.8266910000000001E-3</val>
          </value>
        </values>
      </ddeItem>
      <ddeItem name="AI[56].isCorrect" advise="1">
        <values>
          <value>
            <val>0</val>
          </value>
        </values>
      </ddeItem>
      <ddeItem name="AI[56].isCut" advise="1"/>
      <ddeItem name="AI[56].isForce" advise="1">
        <values>
          <value>
            <val>0</val>
          </value>
        </values>
      </ddeItem>
      <ddeItem name="AI[56].isInvScale" advise="1">
        <values>
          <value>
            <val>0</val>
          </value>
        </values>
      </ddeItem>
      <ddeItem name="AI[56].L.EN" advise="1">
        <values>
          <value>
            <val>0</val>
          </value>
        </values>
      </ddeItem>
      <ddeItem name="AI[56].L.fix" advise="1">
        <values>
          <value>
            <val>0</val>
          </value>
        </values>
      </ddeItem>
      <ddeItem name="AI[56].L.V" advise="1">
        <values>
          <value>
            <val>0</val>
          </value>
        </values>
      </ddeItem>
      <ddeItem name="AI[56].LL.EN" advise="1">
        <values>
          <value>
            <val>0</val>
          </value>
        </values>
      </ddeItem>
      <ddeItem name="AI[56].LL.fix" advise="1">
        <values>
          <value>
            <val>0</val>
          </value>
        </values>
      </ddeItem>
      <ddeItem name="AI[56].LL.V" advise="1">
        <values>
          <value>
            <val>0</val>
          </value>
        </values>
      </ddeItem>
      <ddeItem name="AI[56].RH.EN" advise="1">
        <values>
          <value>
            <val>1</val>
          </value>
        </values>
      </ddeItem>
      <ddeItem name="AI[56].RH.fix" advise="1">
        <values>
          <value>
            <val>0</val>
          </value>
        </values>
      </ddeItem>
      <ddeItem name="AI[56].RH.V" advise="1">
        <values>
          <value>
            <val>280</val>
          </value>
        </values>
      </ddeItem>
      <ddeItem name="AI[56].RL.EN" advise="1">
        <values>
          <value>
            <val>1</val>
          </value>
        </values>
      </ddeItem>
      <ddeItem name="AI[56].RL.fix" advise="1">
        <values>
          <value>
            <val>0</val>
          </value>
        </values>
      </ddeItem>
      <ddeItem name="AI[56].RL.V" advise="1">
        <values>
          <value>
            <val>130</val>
          </value>
        </values>
      </ddeItem>
      <ddeItem name="AI[56].state" advise="1">
        <values>
          <value>
            <val>4</val>
          </value>
        </values>
      </ddeItem>
      <ddeItem name="AI[56].v" advise="1">
        <values>
          <value>
            <val>0</val>
          </value>
        </values>
      </ddeItem>
      <ddeItem name="AI[56].vCorrect" advise="1"/>
      <ddeItem name="AI[56].vCut" advise="1"/>
      <ddeItem name="AI[56].vRaw" advise="1"/>
      <ddeItem name="AI[56].ZH" advise="1">
        <values>
          <value>
            <val>300</val>
          </value>
        </values>
      </ddeItem>
      <ddeItem name="AI[56].ZL" advise="1">
        <values>
          <value>
            <val>0</val>
          </value>
        </values>
      </ddeItem>
      <ddeItem name="AI[57].break.sgn" advise="1">
        <values>
          <value>
            <val>1</val>
          </value>
        </values>
      </ddeItem>
      <ddeItem name="AI[57].EN" advise="1">
        <values>
          <value>
            <val>1</val>
          </value>
        </values>
      </ddeItem>
      <ddeItem name="AI[57].group" advise="1">
        <values>
          <value>
            <val>2</val>
          </value>
        </values>
      </ddeItem>
      <ddeItem name="AI[57].H.EN" advise="1">
        <values>
          <value>
            <val>1</val>
          </value>
        </values>
      </ddeItem>
      <ddeItem name="AI[57].H.fix" advise="1">
        <values>
          <value>
            <val>0</val>
          </value>
        </values>
      </ddeItem>
      <ddeItem name="AI[57].H.V" advise="1">
        <values>
          <value>
            <val>156</val>
          </value>
        </values>
      </ddeItem>
      <ddeItem name="AI[57].HH.EN" advise="1">
        <values>
          <value>
            <val>0</val>
          </value>
        </values>
      </ddeItem>
      <ddeItem name="AI[57].HH.fix" advise="1">
        <values>
          <value>
            <val>0</val>
          </value>
        </values>
      </ddeItem>
      <ddeItem name="AI[57].HH.V" advise="1">
        <values>
          <value>
            <val>0</val>
          </value>
        </values>
      </ddeItem>
      <ddeItem name="AI[57].i" advise="1">
        <values>
          <value>
            <val>2.8266910000000001E-3</val>
          </value>
        </values>
      </ddeItem>
      <ddeItem name="AI[57].isCorrect" advise="1">
        <values>
          <value>
            <val>0</val>
          </value>
        </values>
      </ddeItem>
      <ddeItem name="AI[57].isCut" advise="1"/>
      <ddeItem name="AI[57].isForce" advise="1">
        <values>
          <value>
            <val>0</val>
          </value>
        </values>
      </ddeItem>
      <ddeItem name="AI[57].isInvScale" advise="1">
        <values>
          <value>
            <val>0</val>
          </value>
        </values>
      </ddeItem>
      <ddeItem name="AI[57].L.EN" advise="1">
        <values>
          <value>
            <val>0</val>
          </value>
        </values>
      </ddeItem>
      <ddeItem name="AI[57].L.fix" advise="1">
        <values>
          <value>
            <val>0</val>
          </value>
        </values>
      </ddeItem>
      <ddeItem name="AI[57].L.V" advise="1">
        <values>
          <value>
            <val>0</val>
          </value>
        </values>
      </ddeItem>
      <ddeItem name="AI[57].LL.EN" advise="1">
        <values>
          <value>
            <val>0</val>
          </value>
        </values>
      </ddeItem>
      <ddeItem name="AI[57].LL.fix" advise="1">
        <values>
          <value>
            <val>0</val>
          </value>
        </values>
      </ddeItem>
      <ddeItem name="AI[57].LL.V" advise="1">
        <values>
          <value>
            <val>0</val>
          </value>
        </values>
      </ddeItem>
      <ddeItem name="AI[57].RH.EN" advise="1">
        <values>
          <value>
            <val>1</val>
          </value>
        </values>
      </ddeItem>
      <ddeItem name="AI[57].RH.fix" advise="1">
        <values>
          <value>
            <val>0</val>
          </value>
        </values>
      </ddeItem>
      <ddeItem name="AI[57].RH.V" advise="1">
        <values>
          <value>
            <val>155</val>
          </value>
        </values>
      </ddeItem>
      <ddeItem name="AI[57].RL.EN" advise="1">
        <values>
          <value>
            <val>1</val>
          </value>
        </values>
      </ddeItem>
      <ddeItem name="AI[57].RL.fix" advise="1">
        <values>
          <value>
            <val>0</val>
          </value>
        </values>
      </ddeItem>
      <ddeItem name="AI[57].RL.V" advise="1">
        <values>
          <value>
            <val>115</val>
          </value>
        </values>
      </ddeItem>
      <ddeItem name="AI[57].state" advise="1">
        <values>
          <value>
            <val>4</val>
          </value>
        </values>
      </ddeItem>
      <ddeItem name="AI[57].v" advise="1">
        <values>
          <value>
            <val>0</val>
          </value>
        </values>
      </ddeItem>
      <ddeItem name="AI[57].vCorrect" advise="1"/>
      <ddeItem name="AI[57].vCut" advise="1"/>
      <ddeItem name="AI[57].vRaw" advise="1"/>
      <ddeItem name="AI[57].ZH" advise="1">
        <values>
          <value>
            <val>200</val>
          </value>
        </values>
      </ddeItem>
      <ddeItem name="AI[57].ZL" advise="1">
        <values>
          <value>
            <val>0</val>
          </value>
        </values>
      </ddeItem>
      <ddeItem name="AI[58].break.sgn" advise="1">
        <values>
          <value>
            <val>0</val>
          </value>
        </values>
      </ddeItem>
      <ddeItem name="AI[58].EN" advise="1">
        <values>
          <value>
            <val>0</val>
          </value>
        </values>
      </ddeItem>
      <ddeItem name="AI[58].group" advise="1">
        <values>
          <value>
            <val>2</val>
          </value>
        </values>
      </ddeItem>
      <ddeItem name="AI[58].H.EN" advise="1">
        <values>
          <value>
            <val>0</val>
          </value>
        </values>
      </ddeItem>
      <ddeItem name="AI[58].H.fix" advise="1">
        <values>
          <value>
            <val>0</val>
          </value>
        </values>
      </ddeItem>
      <ddeItem name="AI[58].H.V" advise="1">
        <values>
          <value>
            <val>0</val>
          </value>
        </values>
      </ddeItem>
      <ddeItem name="AI[58].HH.EN" advise="1">
        <values>
          <value>
            <val>0</val>
          </value>
        </values>
      </ddeItem>
      <ddeItem name="AI[58].HH.fix" advise="1">
        <values>
          <value>
            <val>0</val>
          </value>
        </values>
      </ddeItem>
      <ddeItem name="AI[58].HH.V" advise="1">
        <values>
          <value>
            <val>0</val>
          </value>
        </values>
      </ddeItem>
      <ddeItem name="AI[58].i" advise="1">
        <values>
          <value>
            <val>0</val>
          </value>
        </values>
      </ddeItem>
      <ddeItem name="AI[58].isCorrect" advise="1">
        <values>
          <value>
            <val>0</val>
          </value>
        </values>
      </ddeItem>
      <ddeItem name="AI[58].isCut" advise="1"/>
      <ddeItem name="AI[58].isForce" advise="1">
        <values>
          <value>
            <val>0</val>
          </value>
        </values>
      </ddeItem>
      <ddeItem name="AI[58].isInvScale" advise="1">
        <values>
          <value>
            <val>0</val>
          </value>
        </values>
      </ddeItem>
      <ddeItem name="AI[58].L.EN" advise="1">
        <values>
          <value>
            <val>0</val>
          </value>
        </values>
      </ddeItem>
      <ddeItem name="AI[58].L.fix" advise="1">
        <values>
          <value>
            <val>0</val>
          </value>
        </values>
      </ddeItem>
      <ddeItem name="AI[58].L.V" advise="1">
        <values>
          <value>
            <val>0</val>
          </value>
        </values>
      </ddeItem>
      <ddeItem name="AI[58].LL.EN" advise="1">
        <values>
          <value>
            <val>0</val>
          </value>
        </values>
      </ddeItem>
      <ddeItem name="AI[58].LL.fix" advise="1">
        <values>
          <value>
            <val>0</val>
          </value>
        </values>
      </ddeItem>
      <ddeItem name="AI[58].LL.V" advise="1">
        <values>
          <value>
            <val>0</val>
          </value>
        </values>
      </ddeItem>
      <ddeItem name="AI[58].RH.EN" advise="1">
        <values>
          <value>
            <val>1</val>
          </value>
        </values>
      </ddeItem>
      <ddeItem name="AI[58].RH.fix" advise="1">
        <values>
          <value>
            <val>0</val>
          </value>
        </values>
      </ddeItem>
      <ddeItem name="AI[58].RH.V" advise="1">
        <values>
          <value>
            <val>320</val>
          </value>
        </values>
      </ddeItem>
      <ddeItem name="AI[58].RL.EN" advise="1">
        <values>
          <value>
            <val>1</val>
          </value>
        </values>
      </ddeItem>
      <ddeItem name="AI[58].RL.fix" advise="1">
        <values>
          <value>
            <val>0</val>
          </value>
        </values>
      </ddeItem>
      <ddeItem name="AI[58].RL.V" advise="1">
        <values>
          <value>
            <val>32</val>
          </value>
        </values>
      </ddeItem>
      <ddeItem name="AI[58].state" advise="1">
        <values>
          <value>
            <val>4</val>
          </value>
        </values>
      </ddeItem>
      <ddeItem name="AI[58].v" advise="1">
        <values>
          <value>
            <val>0</val>
          </value>
        </values>
      </ddeItem>
      <ddeItem name="AI[58].vCorrect" advise="1"/>
      <ddeItem name="AI[58].vCut" advise="1"/>
      <ddeItem name="AI[58].vRaw" advise="1"/>
      <ddeItem name="AI[58].ZH" advise="1">
        <values>
          <value>
            <val>350</val>
          </value>
        </values>
      </ddeItem>
      <ddeItem name="AI[58].ZL" advise="1">
        <values>
          <value>
            <val>0</val>
          </value>
        </values>
      </ddeItem>
      <ddeItem name="AI[59].break.sgn" advise="1">
        <values>
          <value>
            <val>0</val>
          </value>
        </values>
      </ddeItem>
      <ddeItem name="AI[59].EN" advise="1">
        <values>
          <value>
            <val>0</val>
          </value>
        </values>
      </ddeItem>
      <ddeItem name="AI[59].group" advise="1">
        <values>
          <value>
            <val>2</val>
          </value>
        </values>
      </ddeItem>
      <ddeItem name="AI[59].H.EN" advise="1">
        <values>
          <value>
            <val>0</val>
          </value>
        </values>
      </ddeItem>
      <ddeItem name="AI[59].H.fix" advise="1">
        <values>
          <value>
            <val>0</val>
          </value>
        </values>
      </ddeItem>
      <ddeItem name="AI[59].H.V" advise="1">
        <values>
          <value>
            <val>0</val>
          </value>
        </values>
      </ddeItem>
      <ddeItem name="AI[59].HH.EN" advise="1">
        <values>
          <value>
            <val>0</val>
          </value>
        </values>
      </ddeItem>
      <ddeItem name="AI[59].HH.fix" advise="1">
        <values>
          <value>
            <val>0</val>
          </value>
        </values>
      </ddeItem>
      <ddeItem name="AI[59].HH.V" advise="1">
        <values>
          <value>
            <val>0</val>
          </value>
        </values>
      </ddeItem>
      <ddeItem name="AI[59].i" advise="1">
        <values>
          <value>
            <val>0</val>
          </value>
        </values>
      </ddeItem>
      <ddeItem name="AI[59].isCorrect" advise="1">
        <values>
          <value>
            <val>0</val>
          </value>
        </values>
      </ddeItem>
      <ddeItem name="AI[59].isCut" advise="1"/>
      <ddeItem name="AI[59].isForce" advise="1">
        <values>
          <value>
            <val>0</val>
          </value>
        </values>
      </ddeItem>
      <ddeItem name="AI[59].isInvScale" advise="1">
        <values>
          <value>
            <val>0</val>
          </value>
        </values>
      </ddeItem>
      <ddeItem name="AI[59].L.EN" advise="1">
        <values>
          <value>
            <val>0</val>
          </value>
        </values>
      </ddeItem>
      <ddeItem name="AI[59].L.fix" advise="1">
        <values>
          <value>
            <val>0</val>
          </value>
        </values>
      </ddeItem>
      <ddeItem name="AI[59].L.V" advise="1">
        <values>
          <value>
            <val>0</val>
          </value>
        </values>
      </ddeItem>
      <ddeItem name="AI[59].LL.EN" advise="1">
        <values>
          <value>
            <val>0</val>
          </value>
        </values>
      </ddeItem>
      <ddeItem name="AI[59].LL.fix" advise="1">
        <values>
          <value>
            <val>0</val>
          </value>
        </values>
      </ddeItem>
      <ddeItem name="AI[59].LL.V" advise="1">
        <values>
          <value>
            <val>0</val>
          </value>
        </values>
      </ddeItem>
      <ddeItem name="AI[59].RH.EN" advise="1">
        <values>
          <value>
            <val>1</val>
          </value>
        </values>
      </ddeItem>
      <ddeItem name="AI[59].RH.fix" advise="1">
        <values>
          <value>
            <val>0</val>
          </value>
        </values>
      </ddeItem>
      <ddeItem name="AI[59].RH.V" advise="1">
        <values>
          <value>
            <val>320</val>
          </value>
        </values>
      </ddeItem>
      <ddeItem name="AI[59].RL.EN" advise="1">
        <values>
          <value>
            <val>1</val>
          </value>
        </values>
      </ddeItem>
      <ddeItem name="AI[59].RL.fix" advise="1">
        <values>
          <value>
            <val>0</val>
          </value>
        </values>
      </ddeItem>
      <ddeItem name="AI[59].RL.V" advise="1">
        <values>
          <value>
            <val>32</val>
          </value>
        </values>
      </ddeItem>
      <ddeItem name="AI[59].state" advise="1">
        <values>
          <value>
            <val>4</val>
          </value>
        </values>
      </ddeItem>
      <ddeItem name="AI[59].v" advise="1">
        <values>
          <value>
            <val>0</val>
          </value>
        </values>
      </ddeItem>
      <ddeItem name="AI[59].vCorrect" advise="1"/>
      <ddeItem name="AI[59].vCut" advise="1"/>
      <ddeItem name="AI[59].vRaw" advise="1"/>
      <ddeItem name="AI[59].ZH" advise="1">
        <values>
          <value>
            <val>350</val>
          </value>
        </values>
      </ddeItem>
      <ddeItem name="AI[59].ZL" advise="1">
        <values>
          <value>
            <val>0</val>
          </value>
        </values>
      </ddeItem>
      <ddeItem name="AI[6].break.sgn" advise="1">
        <values>
          <value>
            <val>1</val>
          </value>
        </values>
      </ddeItem>
      <ddeItem name="AI[6].EN" advise="1">
        <values>
          <value>
            <val>1</val>
          </value>
        </values>
      </ddeItem>
      <ddeItem name="AI[6].group" advise="1">
        <values>
          <value>
            <val>1</val>
          </value>
        </values>
      </ddeItem>
      <ddeItem name="AI[6].H.EN" advise="1">
        <values>
          <value>
            <val>0</val>
          </value>
        </values>
      </ddeItem>
      <ddeItem name="AI[6].H.fix" advise="1">
        <values>
          <value>
            <val>0</val>
          </value>
        </values>
      </ddeItem>
      <ddeItem name="AI[6].H.V" advise="1">
        <values>
          <value>
            <val>0</val>
          </value>
        </values>
      </ddeItem>
      <ddeItem name="AI[6].HH.EN" advise="1">
        <values>
          <value>
            <val>0</val>
          </value>
        </values>
      </ddeItem>
      <ddeItem name="AI[6].HH.fix" advise="1">
        <values>
          <value>
            <val>0</val>
          </value>
        </values>
      </ddeItem>
      <ddeItem name="AI[6].HH.V" advise="1">
        <values>
          <value>
            <val>0</val>
          </value>
        </values>
      </ddeItem>
      <ddeItem name="AI[6].i" advise="1">
        <values>
          <value>
            <val>4.08268E-3</val>
          </value>
        </values>
      </ddeItem>
      <ddeItem name="AI[6].isCorrect" advise="1">
        <values>
          <value>
            <val>0</val>
          </value>
        </values>
      </ddeItem>
      <ddeItem name="AI[6].isCut" advise="1"/>
      <ddeItem name="AI[6].isForce" advise="1">
        <values>
          <value>
            <val>0</val>
          </value>
        </values>
      </ddeItem>
      <ddeItem name="AI[6].isInvScale" advise="1">
        <values>
          <value>
            <val>0</val>
          </value>
        </values>
      </ddeItem>
      <ddeItem name="AI[6].L.EN" advise="1">
        <values>
          <value>
            <val>0</val>
          </value>
        </values>
      </ddeItem>
      <ddeItem name="AI[6].L.fix" advise="1">
        <values>
          <value>
            <val>0</val>
          </value>
        </values>
      </ddeItem>
      <ddeItem name="AI[6].L.V" advise="1">
        <values>
          <value>
            <val>0</val>
          </value>
        </values>
      </ddeItem>
      <ddeItem name="AI[6].LL.EN" advise="1">
        <values>
          <value>
            <val>0</val>
          </value>
        </values>
      </ddeItem>
      <ddeItem name="AI[6].LL.fix" advise="1">
        <values>
          <value>
            <val>0</val>
          </value>
        </values>
      </ddeItem>
      <ddeItem name="AI[6].LL.V" advise="1">
        <values>
          <value>
            <val>0</val>
          </value>
        </values>
      </ddeItem>
      <ddeItem name="AI[6].RH.EN" advise="1">
        <values>
          <value>
            <val>1</val>
          </value>
        </values>
      </ddeItem>
      <ddeItem name="AI[6].RH.fix" advise="1">
        <values>
          <value>
            <val>0</val>
          </value>
        </values>
      </ddeItem>
      <ddeItem name="AI[6].RH.V" advise="1">
        <values>
          <value>
            <val>1630</val>
          </value>
        </values>
      </ddeItem>
      <ddeItem name="AI[6].RL.EN" advise="1">
        <values>
          <value>
            <val>1</val>
          </value>
        </values>
      </ddeItem>
      <ddeItem name="AI[6].RL.fix" advise="1">
        <values>
          <value>
            <val>0</val>
          </value>
        </values>
      </ddeItem>
      <ddeItem name="AI[6].RL.V" advise="1">
        <values>
          <value>
            <val>0</val>
          </value>
        </values>
      </ddeItem>
      <ddeItem name="AI[6].state" advise="1">
        <values>
          <value>
            <val>4</val>
          </value>
        </values>
      </ddeItem>
      <ddeItem name="AI[6].v" advise="1">
        <values>
          <value>
            <val>0</val>
          </value>
        </values>
      </ddeItem>
      <ddeItem name="AI[6].vCorrect" advise="1"/>
      <ddeItem name="AI[6].vCut" advise="1"/>
      <ddeItem name="AI[6].vRaw" advise="1"/>
      <ddeItem name="AI[6].ZH" advise="1">
        <values>
          <value>
            <val>2000</val>
          </value>
        </values>
      </ddeItem>
      <ddeItem name="AI[6].ZL" advise="1">
        <values>
          <value>
            <val>0</val>
          </value>
        </values>
      </ddeItem>
      <ddeItem name="AI[60].break.sgn" advise="1">
        <values>
          <value>
            <val>1</val>
          </value>
        </values>
      </ddeItem>
      <ddeItem name="AI[60].EN" advise="1">
        <values>
          <value>
            <val>1</val>
          </value>
        </values>
      </ddeItem>
      <ddeItem name="AI[60].group" advise="1">
        <values>
          <value>
            <val>2</val>
          </value>
        </values>
      </ddeItem>
      <ddeItem name="AI[60].H.EN" advise="1">
        <values>
          <value>
            <val>1</val>
          </value>
        </values>
      </ddeItem>
      <ddeItem name="AI[60].H.fix" advise="1">
        <values>
          <value>
            <val>0</val>
          </value>
        </values>
      </ddeItem>
      <ddeItem name="AI[60].H.V" advise="1">
        <values>
          <value>
            <val>13</val>
          </value>
        </values>
      </ddeItem>
      <ddeItem name="AI[60].HH.EN" advise="1">
        <values>
          <value>
            <val>1</val>
          </value>
        </values>
      </ddeItem>
      <ddeItem name="AI[60].HH.fix" advise="1">
        <values>
          <value>
            <val>0</val>
          </value>
        </values>
      </ddeItem>
      <ddeItem name="AI[60].HH.V" advise="1">
        <values>
          <value>
            <val>14</val>
          </value>
        </values>
      </ddeItem>
      <ddeItem name="AI[60].i" advise="1">
        <values>
          <value>
            <val>2.5129319999999998E-3</val>
          </value>
        </values>
      </ddeItem>
      <ddeItem name="AI[60].isCorrect" advise="1">
        <values>
          <value>
            <val>0</val>
          </value>
        </values>
      </ddeItem>
      <ddeItem name="AI[60].isCut" advise="1"/>
      <ddeItem name="AI[60].isForce" advise="1">
        <values>
          <value>
            <val>0</val>
          </value>
        </values>
      </ddeItem>
      <ddeItem name="AI[60].isInvScale" advise="1">
        <values>
          <value>
            <val>0</val>
          </value>
        </values>
      </ddeItem>
      <ddeItem name="AI[60].L.EN" advise="1">
        <values>
          <value>
            <val>0</val>
          </value>
        </values>
      </ddeItem>
      <ddeItem name="AI[60].L.fix" advise="1">
        <values>
          <value>
            <val>0</val>
          </value>
        </values>
      </ddeItem>
      <ddeItem name="AI[60].L.V" advise="1">
        <values>
          <value>
            <val>0</val>
          </value>
        </values>
      </ddeItem>
      <ddeItem name="AI[60].LL.EN" advise="1">
        <values>
          <value>
            <val>0</val>
          </value>
        </values>
      </ddeItem>
      <ddeItem name="AI[60].LL.fix" advise="1">
        <values>
          <value>
            <val>0</val>
          </value>
        </values>
      </ddeItem>
      <ddeItem name="AI[60].LL.V" advise="1">
        <values>
          <value>
            <val>0</val>
          </value>
        </values>
      </ddeItem>
      <ddeItem name="AI[60].RH.EN" advise="1">
        <values>
          <value>
            <val>1</val>
          </value>
        </values>
      </ddeItem>
      <ddeItem name="AI[60].RH.fix" advise="1">
        <values>
          <value>
            <val>0</val>
          </value>
        </values>
      </ddeItem>
      <ddeItem name="AI[60].RH.V" advise="1">
        <values>
          <value>
            <val>13</val>
          </value>
        </values>
      </ddeItem>
      <ddeItem name="AI[60].RL.EN" advise="1">
        <values>
          <value>
            <val>1</val>
          </value>
        </values>
      </ddeItem>
      <ddeItem name="AI[60].RL.fix" advise="1">
        <values>
          <value>
            <val>0</val>
          </value>
        </values>
      </ddeItem>
      <ddeItem name="AI[60].RL.V" advise="1">
        <values>
          <value>
            <val>5</val>
          </value>
        </values>
      </ddeItem>
      <ddeItem name="AI[60].state" advise="1">
        <values>
          <value>
            <val>4</val>
          </value>
        </values>
      </ddeItem>
      <ddeItem name="AI[60].v" advise="1">
        <values>
          <value>
            <val>0</val>
          </value>
        </values>
      </ddeItem>
      <ddeItem name="AI[60].vCorrect" advise="1"/>
      <ddeItem name="AI[60].vCut" advise="1"/>
      <ddeItem name="AI[60].vRaw" advise="1"/>
      <ddeItem name="AI[60].ZH" advise="1">
        <values>
          <value>
            <val>20</val>
          </value>
        </values>
      </ddeItem>
      <ddeItem name="AI[60].ZL" advise="1">
        <values>
          <value>
            <val>0</val>
          </value>
        </values>
      </ddeItem>
      <ddeItem name="AI[61].break.sgn" advise="1">
        <values>
          <value>
            <val>1</val>
          </value>
        </values>
      </ddeItem>
      <ddeItem name="AI[61].EN" advise="1">
        <values>
          <value>
            <val>1</val>
          </value>
        </values>
      </ddeItem>
      <ddeItem name="AI[61].group" advise="1">
        <values>
          <value>
            <val>2</val>
          </value>
        </values>
      </ddeItem>
      <ddeItem name="AI[61].H.EN" advise="1">
        <values>
          <value>
            <val>0</val>
          </value>
        </values>
      </ddeItem>
      <ddeItem name="AI[61].H.fix" advise="1">
        <values>
          <value>
            <val>0</val>
          </value>
        </values>
      </ddeItem>
      <ddeItem name="AI[61].H.V" advise="1">
        <values>
          <value>
            <val>0</val>
          </value>
        </values>
      </ddeItem>
      <ddeItem name="AI[61].HH.EN" advise="1">
        <values>
          <value>
            <val>0</val>
          </value>
        </values>
      </ddeItem>
      <ddeItem name="AI[61].HH.fix" advise="1">
        <values>
          <value>
            <val>0</val>
          </value>
        </values>
      </ddeItem>
      <ddeItem name="AI[61].HH.V" advise="1">
        <values>
          <value>
            <val>0</val>
          </value>
        </values>
      </ddeItem>
      <ddeItem name="AI[61].i" advise="1">
        <values>
          <value>
            <val>2.5129319999999998E-3</val>
          </value>
        </values>
      </ddeItem>
      <ddeItem name="AI[61].isCorrect" advise="1">
        <values>
          <value>
            <val>0</val>
          </value>
        </values>
      </ddeItem>
      <ddeItem name="AI[61].isCut" advise="1"/>
      <ddeItem name="AI[61].isForce" advise="1">
        <values>
          <value>
            <val>0</val>
          </value>
        </values>
      </ddeItem>
      <ddeItem name="AI[61].isInvScale" advise="1">
        <values>
          <value>
            <val>0</val>
          </value>
        </values>
      </ddeItem>
      <ddeItem name="AI[61].L.EN" advise="1">
        <values>
          <value>
            <val>0</val>
          </value>
        </values>
      </ddeItem>
      <ddeItem name="AI[61].L.fix" advise="1">
        <values>
          <value>
            <val>0</val>
          </value>
        </values>
      </ddeItem>
      <ddeItem name="AI[61].L.V" advise="1">
        <values>
          <value>
            <val>0</val>
          </value>
        </values>
      </ddeItem>
      <ddeItem name="AI[61].LL.EN" advise="1">
        <values>
          <value>
            <val>0</val>
          </value>
        </values>
      </ddeItem>
      <ddeItem name="AI[61].LL.fix" advise="1">
        <values>
          <value>
            <val>0</val>
          </value>
        </values>
      </ddeItem>
      <ddeItem name="AI[61].LL.V" advise="1">
        <values>
          <value>
            <val>0</val>
          </value>
        </values>
      </ddeItem>
      <ddeItem name="AI[61].RH.EN" advise="1">
        <values>
          <value>
            <val>1</val>
          </value>
        </values>
      </ddeItem>
      <ddeItem name="AI[61].RH.fix" advise="1">
        <values>
          <value>
            <val>0</val>
          </value>
        </values>
      </ddeItem>
      <ddeItem name="AI[61].RH.V" advise="1">
        <values>
          <value>
            <val>1.05</val>
          </value>
        </values>
      </ddeItem>
      <ddeItem name="AI[61].RL.EN" advise="1">
        <values>
          <value>
            <val>1</val>
          </value>
        </values>
      </ddeItem>
      <ddeItem name="AI[61].RL.fix" advise="1">
        <values>
          <value>
            <val>0</val>
          </value>
        </values>
      </ddeItem>
      <ddeItem name="AI[61].RL.V" advise="1">
        <values>
          <value>
            <val>0.95</val>
          </value>
        </values>
      </ddeItem>
      <ddeItem name="AI[61].state" advise="1">
        <values>
          <value>
            <val>4</val>
          </value>
        </values>
      </ddeItem>
      <ddeItem name="AI[61].v" advise="1">
        <values>
          <value>
            <val>0</val>
          </value>
        </values>
      </ddeItem>
      <ddeItem name="AI[61].vCorrect" advise="1"/>
      <ddeItem name="AI[61].vCut" advise="1"/>
      <ddeItem name="AI[61].vRaw" advise="1"/>
      <ddeItem name="AI[61].ZH" advise="1">
        <values>
          <value>
            <val>2</val>
          </value>
        </values>
      </ddeItem>
      <ddeItem name="AI[61].ZL" advise="1">
        <values>
          <value>
            <val>0</val>
          </value>
        </values>
      </ddeItem>
      <ddeItem name="AI[62].break.sgn" advise="1">
        <values>
          <value>
            <val>0</val>
          </value>
        </values>
      </ddeItem>
      <ddeItem name="AI[62].EN" advise="1">
        <values>
          <value>
            <val>0</val>
          </value>
        </values>
      </ddeItem>
      <ddeItem name="AI[62].group" advise="1">
        <values>
          <value>
            <val>0</val>
          </value>
        </values>
      </ddeItem>
      <ddeItem name="AI[62].H.EN" advise="1">
        <values>
          <value>
            <val>0</val>
          </value>
        </values>
      </ddeItem>
      <ddeItem name="AI[62].H.fix" advise="1">
        <values>
          <value>
            <val>0</val>
          </value>
        </values>
      </ddeItem>
      <ddeItem name="AI[62].H.V" advise="1">
        <values>
          <value>
            <val>0</val>
          </value>
        </values>
      </ddeItem>
      <ddeItem name="AI[62].HH.EN" advise="1">
        <values>
          <value>
            <val>0</val>
          </value>
        </values>
      </ddeItem>
      <ddeItem name="AI[62].HH.fix" advise="1">
        <values>
          <value>
            <val>0</val>
          </value>
        </values>
      </ddeItem>
      <ddeItem name="AI[62].HH.V" advise="1">
        <values>
          <value>
            <val>0</val>
          </value>
        </values>
      </ddeItem>
      <ddeItem name="AI[62].i" advise="1">
        <values>
          <value>
            <val>0</val>
          </value>
        </values>
      </ddeItem>
      <ddeItem name="AI[62].isCorrect" advise="1">
        <values>
          <value>
            <val>0</val>
          </value>
        </values>
      </ddeItem>
      <ddeItem name="AI[62].isCut" advise="1"/>
      <ddeItem name="AI[62].isForce" advise="1">
        <values>
          <value>
            <val>0</val>
          </value>
        </values>
      </ddeItem>
      <ddeItem name="AI[62].isInvScale" advise="1">
        <values>
          <value>
            <val>0</val>
          </value>
        </values>
      </ddeItem>
      <ddeItem name="AI[62].L.EN" advise="1">
        <values>
          <value>
            <val>0</val>
          </value>
        </values>
      </ddeItem>
      <ddeItem name="AI[62].L.fix" advise="1">
        <values>
          <value>
            <val>0</val>
          </value>
        </values>
      </ddeItem>
      <ddeItem name="AI[62].L.V" advise="1">
        <values>
          <value>
            <val>0</val>
          </value>
        </values>
      </ddeItem>
      <ddeItem name="AI[62].LL.EN" advise="1">
        <values>
          <value>
            <val>0</val>
          </value>
        </values>
      </ddeItem>
      <ddeItem name="AI[62].LL.fix" advise="1">
        <values>
          <value>
            <val>0</val>
          </value>
        </values>
      </ddeItem>
      <ddeItem name="AI[62].LL.V" advise="1">
        <values>
          <value>
            <val>0</val>
          </value>
        </values>
      </ddeItem>
      <ddeItem name="AI[62].RH.EN" advise="1">
        <values>
          <value>
            <val>0</val>
          </value>
        </values>
      </ddeItem>
      <ddeItem name="AI[62].RH.fix" advise="1">
        <values>
          <value>
            <val>0</val>
          </value>
        </values>
      </ddeItem>
      <ddeItem name="AI[62].RH.V" advise="1">
        <values>
          <value>
            <val>0</val>
          </value>
        </values>
      </ddeItem>
      <ddeItem name="AI[62].RL.EN" advise="1">
        <values>
          <value>
            <val>0</val>
          </value>
        </values>
      </ddeItem>
      <ddeItem name="AI[62].RL.fix" advise="1">
        <values>
          <value>
            <val>0</val>
          </value>
        </values>
      </ddeItem>
      <ddeItem name="AI[62].RL.V" advise="1">
        <values>
          <value>
            <val>0</val>
          </value>
        </values>
      </ddeItem>
      <ddeItem name="AI[62].state" advise="1">
        <values>
          <value>
            <val>4</val>
          </value>
        </values>
      </ddeItem>
      <ddeItem name="AI[62].v" advise="1">
        <values>
          <value>
            <val>0</val>
          </value>
        </values>
      </ddeItem>
      <ddeItem name="AI[62].vCorrect" advise="1"/>
      <ddeItem name="AI[62].vCut" advise="1"/>
      <ddeItem name="AI[62].vRaw" advise="1"/>
      <ddeItem name="AI[62].ZH" advise="1">
        <values>
          <value>
            <val>0</val>
          </value>
        </values>
      </ddeItem>
      <ddeItem name="AI[62].ZL" advise="1">
        <values>
          <value>
            <val>0</val>
          </value>
        </values>
      </ddeItem>
      <ddeItem name="AI[63].break.sgn" advise="1">
        <values>
          <value>
            <val>0</val>
          </value>
        </values>
      </ddeItem>
      <ddeItem name="AI[63].EN" advise="1">
        <values>
          <value>
            <val>0</val>
          </value>
        </values>
      </ddeItem>
      <ddeItem name="AI[63].group" advise="1">
        <values>
          <value>
            <val>0</val>
          </value>
        </values>
      </ddeItem>
      <ddeItem name="AI[63].H.EN" advise="1">
        <values>
          <value>
            <val>0</val>
          </value>
        </values>
      </ddeItem>
      <ddeItem name="AI[63].H.fix" advise="1">
        <values>
          <value>
            <val>0</val>
          </value>
        </values>
      </ddeItem>
      <ddeItem name="AI[63].H.V" advise="1">
        <values>
          <value>
            <val>0</val>
          </value>
        </values>
      </ddeItem>
      <ddeItem name="AI[63].HH.EN" advise="1">
        <values>
          <value>
            <val>0</val>
          </value>
        </values>
      </ddeItem>
      <ddeItem name="AI[63].HH.fix" advise="1">
        <values>
          <value>
            <val>0</val>
          </value>
        </values>
      </ddeItem>
      <ddeItem name="AI[63].HH.V" advise="1">
        <values>
          <value>
            <val>0</val>
          </value>
        </values>
      </ddeItem>
      <ddeItem name="AI[63].i" advise="1">
        <values>
          <value>
            <val>0</val>
          </value>
        </values>
      </ddeItem>
      <ddeItem name="AI[63].isCorrect" advise="1">
        <values>
          <value>
            <val>0</val>
          </value>
        </values>
      </ddeItem>
      <ddeItem name="AI[63].isCut" advise="1"/>
      <ddeItem name="AI[63].isForce" advise="1">
        <values>
          <value>
            <val>0</val>
          </value>
        </values>
      </ddeItem>
      <ddeItem name="AI[63].isInvScale" advise="1">
        <values>
          <value>
            <val>0</val>
          </value>
        </values>
      </ddeItem>
      <ddeItem name="AI[63].L.EN" advise="1">
        <values>
          <value>
            <val>0</val>
          </value>
        </values>
      </ddeItem>
      <ddeItem name="AI[63].L.fix" advise="1">
        <values>
          <value>
            <val>0</val>
          </value>
        </values>
      </ddeItem>
      <ddeItem name="AI[63].L.V" advise="1">
        <values>
          <value>
            <val>0</val>
          </value>
        </values>
      </ddeItem>
      <ddeItem name="AI[63].LL.EN" advise="1">
        <values>
          <value>
            <val>0</val>
          </value>
        </values>
      </ddeItem>
      <ddeItem name="AI[63].LL.fix" advise="1">
        <values>
          <value>
            <val>0</val>
          </value>
        </values>
      </ddeItem>
      <ddeItem name="AI[63].LL.V" advise="1">
        <values>
          <value>
            <val>0</val>
          </value>
        </values>
      </ddeItem>
      <ddeItem name="AI[63].RH.EN" advise="1">
        <values>
          <value>
            <val>0</val>
          </value>
        </values>
      </ddeItem>
      <ddeItem name="AI[63].RH.fix" advise="1">
        <values>
          <value>
            <val>0</val>
          </value>
        </values>
      </ddeItem>
      <ddeItem name="AI[63].RH.V" advise="1">
        <values>
          <value>
            <val>0</val>
          </value>
        </values>
      </ddeItem>
      <ddeItem name="AI[63].RL.EN" advise="1">
        <values>
          <value>
            <val>0</val>
          </value>
        </values>
      </ddeItem>
      <ddeItem name="AI[63].RL.fix" advise="1">
        <values>
          <value>
            <val>0</val>
          </value>
        </values>
      </ddeItem>
      <ddeItem name="AI[63].RL.V" advise="1">
        <values>
          <value>
            <val>0</val>
          </value>
        </values>
      </ddeItem>
      <ddeItem name="AI[63].state" advise="1">
        <values>
          <value>
            <val>4</val>
          </value>
        </values>
      </ddeItem>
      <ddeItem name="AI[63].v" advise="1">
        <values>
          <value>
            <val>0</val>
          </value>
        </values>
      </ddeItem>
      <ddeItem name="AI[63].vCorrect" advise="1"/>
      <ddeItem name="AI[63].vCut" advise="1"/>
      <ddeItem name="AI[63].vRaw" advise="1"/>
      <ddeItem name="AI[63].ZH" advise="1">
        <values>
          <value>
            <val>0</val>
          </value>
        </values>
      </ddeItem>
      <ddeItem name="AI[63].ZL" advise="1">
        <values>
          <value>
            <val>0</val>
          </value>
        </values>
      </ddeItem>
      <ddeItem name="ai[64].break.sgn" advise="1">
        <values>
          <value>
            <val>1</val>
          </value>
        </values>
      </ddeItem>
      <ddeItem name="ai[64].EN" advise="1">
        <values>
          <value>
            <val>1</val>
          </value>
        </values>
      </ddeItem>
      <ddeItem name="ai[64].group" advise="1">
        <values>
          <value>
            <val>2</val>
          </value>
        </values>
      </ddeItem>
      <ddeItem name="ai[64].H.EN" advise="1">
        <values>
          <value>
            <val>0</val>
          </value>
        </values>
      </ddeItem>
      <ddeItem name="ai[64].H.fix" advise="1">
        <values>
          <value>
            <val>0</val>
          </value>
        </values>
      </ddeItem>
      <ddeItem name="ai[64].H.V" advise="1">
        <values>
          <value>
            <val>0</val>
          </value>
        </values>
      </ddeItem>
      <ddeItem name="ai[64].HH.EN" advise="1">
        <values>
          <value>
            <val>0</val>
          </value>
        </values>
      </ddeItem>
      <ddeItem name="ai[64].HH.fix" advise="1">
        <values>
          <value>
            <val>0</val>
          </value>
        </values>
      </ddeItem>
      <ddeItem name="ai[64].HH.V" advise="1">
        <values>
          <value>
            <val>0</val>
          </value>
        </values>
      </ddeItem>
      <ddeItem name="ai[64].i" advise="1">
        <values>
          <value>
            <val>3.4551619999999999E-3</val>
          </value>
        </values>
      </ddeItem>
      <ddeItem name="ai[64].isCorrect" advise="1">
        <values>
          <value>
            <val>0</val>
          </value>
        </values>
      </ddeItem>
      <ddeItem name="ai[64].isCut" advise="1"/>
      <ddeItem name="ai[64].isForce" advise="1">
        <values>
          <value>
            <val>0</val>
          </value>
        </values>
      </ddeItem>
      <ddeItem name="ai[64].isInvScale" advise="1">
        <values>
          <value>
            <val>0</val>
          </value>
        </values>
      </ddeItem>
      <ddeItem name="ai[64].L.EN" advise="1">
        <values>
          <value>
            <val>0</val>
          </value>
        </values>
      </ddeItem>
      <ddeItem name="ai[64].L.fix" advise="1">
        <values>
          <value>
            <val>0</val>
          </value>
        </values>
      </ddeItem>
      <ddeItem name="ai[64].L.V" advise="1">
        <values>
          <value>
            <val>0</val>
          </value>
        </values>
      </ddeItem>
      <ddeItem name="ai[64].LL.EN" advise="1">
        <values>
          <value>
            <val>0</val>
          </value>
        </values>
      </ddeItem>
      <ddeItem name="ai[64].LL.fix" advise="1">
        <values>
          <value>
            <val>0</val>
          </value>
        </values>
      </ddeItem>
      <ddeItem name="ai[64].LL.V" advise="1">
        <values>
          <value>
            <val>0</val>
          </value>
        </values>
      </ddeItem>
      <ddeItem name="ai[64].RH.EN" advise="1">
        <values>
          <value>
            <val>1</val>
          </value>
        </values>
      </ddeItem>
      <ddeItem name="ai[64].RH.fix" advise="1">
        <values>
          <value>
            <val>0</val>
          </value>
        </values>
      </ddeItem>
      <ddeItem name="ai[64].RH.V" advise="1">
        <values>
          <value>
            <val>40</val>
          </value>
        </values>
      </ddeItem>
      <ddeItem name="ai[64].RL.EN" advise="1">
        <values>
          <value>
            <val>1</val>
          </value>
        </values>
      </ddeItem>
      <ddeItem name="ai[64].RL.fix" advise="1">
        <values>
          <value>
            <val>0</val>
          </value>
        </values>
      </ddeItem>
      <ddeItem name="ai[64].RL.V" advise="1">
        <values>
          <value>
            <val>5</val>
          </value>
        </values>
      </ddeItem>
      <ddeItem name="ai[64].state" advise="1">
        <values>
          <value>
            <val>4</val>
          </value>
        </values>
      </ddeItem>
      <ddeItem name="ai[64].v" advise="1">
        <values>
          <value>
            <val>0</val>
          </value>
        </values>
      </ddeItem>
      <ddeItem name="ai[64].vCorrect" advise="1"/>
      <ddeItem name="ai[64].vCut" advise="1"/>
      <ddeItem name="ai[64].vRaw" advise="1"/>
      <ddeItem name="ai[64].ZH" advise="1">
        <values>
          <value>
            <val>50</val>
          </value>
        </values>
      </ddeItem>
      <ddeItem name="ai[64].ZL" advise="1">
        <values>
          <value>
            <val>-50</val>
          </value>
        </values>
      </ddeItem>
      <ddeItem name="ai[65].break.sgn" advise="1">
        <values>
          <value>
            <val>1</val>
          </value>
        </values>
      </ddeItem>
      <ddeItem name="ai[65].EN" advise="1">
        <values>
          <value>
            <val>1</val>
          </value>
        </values>
      </ddeItem>
      <ddeItem name="ai[65].group" advise="1">
        <values>
          <value>
            <val>2</val>
          </value>
        </values>
      </ddeItem>
      <ddeItem name="ai[65].H.EN" advise="1">
        <values>
          <value>
            <val>0</val>
          </value>
        </values>
      </ddeItem>
      <ddeItem name="ai[65].H.fix" advise="1">
        <values>
          <value>
            <val>0</val>
          </value>
        </values>
      </ddeItem>
      <ddeItem name="ai[65].H.V" advise="1">
        <values>
          <value>
            <val>0</val>
          </value>
        </values>
      </ddeItem>
      <ddeItem name="ai[65].HH.EN" advise="1">
        <values>
          <value>
            <val>0</val>
          </value>
        </values>
      </ddeItem>
      <ddeItem name="ai[65].HH.fix" advise="1">
        <values>
          <value>
            <val>0</val>
          </value>
        </values>
      </ddeItem>
      <ddeItem name="ai[65].HH.V" advise="1">
        <values>
          <value>
            <val>0</val>
          </value>
        </values>
      </ddeItem>
      <ddeItem name="ai[65].i" advise="1">
        <values>
          <value>
            <val>3.4551619999999999E-3</val>
          </value>
        </values>
      </ddeItem>
      <ddeItem name="ai[65].isCorrect" advise="1">
        <values>
          <value>
            <val>0</val>
          </value>
        </values>
      </ddeItem>
      <ddeItem name="ai[65].isCut" advise="1"/>
      <ddeItem name="ai[65].isForce" advise="1">
        <values>
          <value>
            <val>0</val>
          </value>
        </values>
      </ddeItem>
      <ddeItem name="ai[65].isInvScale" advise="1">
        <values>
          <value>
            <val>0</val>
          </value>
        </values>
      </ddeItem>
      <ddeItem name="ai[65].L.EN" advise="1">
        <values>
          <value>
            <val>0</val>
          </value>
        </values>
      </ddeItem>
      <ddeItem name="ai[65].L.fix" advise="1">
        <values>
          <value>
            <val>0</val>
          </value>
        </values>
      </ddeItem>
      <ddeItem name="ai[65].L.V" advise="1">
        <values>
          <value>
            <val>0</val>
          </value>
        </values>
      </ddeItem>
      <ddeItem name="ai[65].LL.EN" advise="1">
        <values>
          <value>
            <val>0</val>
          </value>
        </values>
      </ddeItem>
      <ddeItem name="ai[65].LL.fix" advise="1">
        <values>
          <value>
            <val>0</val>
          </value>
        </values>
      </ddeItem>
      <ddeItem name="ai[65].LL.V" advise="1">
        <values>
          <value>
            <val>0</val>
          </value>
        </values>
      </ddeItem>
      <ddeItem name="ai[65].RH.EN" advise="1">
        <values>
          <value>
            <val>1</val>
          </value>
        </values>
      </ddeItem>
      <ddeItem name="ai[65].RH.fix" advise="1">
        <values>
          <value>
            <val>0</val>
          </value>
        </values>
      </ddeItem>
      <ddeItem name="ai[65].RH.V" advise="1">
        <values>
          <value>
            <val>60</val>
          </value>
        </values>
      </ddeItem>
      <ddeItem name="ai[65].RL.EN" advise="1">
        <values>
          <value>
            <val>1</val>
          </value>
        </values>
      </ddeItem>
      <ddeItem name="ai[65].RL.fix" advise="1">
        <values>
          <value>
            <val>0</val>
          </value>
        </values>
      </ddeItem>
      <ddeItem name="ai[65].RL.V" advise="1">
        <values>
          <value>
            <val>30</val>
          </value>
        </values>
      </ddeItem>
      <ddeItem name="ai[65].state" advise="1">
        <values>
          <value>
            <val>4</val>
          </value>
        </values>
      </ddeItem>
      <ddeItem name="ai[65].v" advise="1">
        <values>
          <value>
            <val>0</val>
          </value>
        </values>
      </ddeItem>
      <ddeItem name="ai[65].vCorrect" advise="1"/>
      <ddeItem name="ai[65].vCut" advise="1"/>
      <ddeItem name="ai[65].vRaw" advise="1"/>
      <ddeItem name="ai[65].ZH" advise="1">
        <values>
          <value>
            <val>100</val>
          </value>
        </values>
      </ddeItem>
      <ddeItem name="ai[65].ZL" advise="1">
        <values>
          <value>
            <val>0</val>
          </value>
        </values>
      </ddeItem>
      <ddeItem name="ai[66].break.sgn" advise="1">
        <values>
          <value>
            <val>1</val>
          </value>
        </values>
      </ddeItem>
      <ddeItem name="ai[66].EN" advise="1">
        <values>
          <value>
            <val>1</val>
          </value>
        </values>
      </ddeItem>
      <ddeItem name="ai[66].group" advise="1">
        <values>
          <value>
            <val>2</val>
          </value>
        </values>
      </ddeItem>
      <ddeItem name="ai[66].H.EN" advise="1">
        <values>
          <value>
            <val>0</val>
          </value>
        </values>
      </ddeItem>
      <ddeItem name="ai[66].H.fix" advise="1">
        <values>
          <value>
            <val>0</val>
          </value>
        </values>
      </ddeItem>
      <ddeItem name="ai[66].H.V" advise="1">
        <values>
          <value>
            <val>0</val>
          </value>
        </values>
      </ddeItem>
      <ddeItem name="ai[66].HH.EN" advise="1">
        <values>
          <value>
            <val>0</val>
          </value>
        </values>
      </ddeItem>
      <ddeItem name="ai[66].HH.fix" advise="1">
        <values>
          <value>
            <val>0</val>
          </value>
        </values>
      </ddeItem>
      <ddeItem name="ai[66].HH.V" advise="1">
        <values>
          <value>
            <val>0</val>
          </value>
        </values>
      </ddeItem>
      <ddeItem name="ai[66].i" advise="1">
        <values>
          <value>
            <val>3.4551619999999999E-3</val>
          </value>
        </values>
      </ddeItem>
      <ddeItem name="ai[66].isCorrect" advise="1">
        <values>
          <value>
            <val>0</val>
          </value>
        </values>
      </ddeItem>
      <ddeItem name="ai[66].isCut" advise="1"/>
      <ddeItem name="ai[66].isForce" advise="1">
        <values>
          <value>
            <val>0</val>
          </value>
        </values>
      </ddeItem>
      <ddeItem name="ai[66].isInvScale" advise="1">
        <values>
          <value>
            <val>0</val>
          </value>
        </values>
      </ddeItem>
      <ddeItem name="ai[66].L.EN" advise="1">
        <values>
          <value>
            <val>0</val>
          </value>
        </values>
      </ddeItem>
      <ddeItem name="ai[66].L.fix" advise="1">
        <values>
          <value>
            <val>0</val>
          </value>
        </values>
      </ddeItem>
      <ddeItem name="ai[66].L.V" advise="1">
        <values>
          <value>
            <val>0</val>
          </value>
        </values>
      </ddeItem>
      <ddeItem name="ai[66].LL.EN" advise="1">
        <values>
          <value>
            <val>0</val>
          </value>
        </values>
      </ddeItem>
      <ddeItem name="ai[66].LL.fix" advise="1">
        <values>
          <value>
            <val>0</val>
          </value>
        </values>
      </ddeItem>
      <ddeItem name="ai[66].LL.V" advise="1">
        <values>
          <value>
            <val>0</val>
          </value>
        </values>
      </ddeItem>
      <ddeItem name="ai[66].RH.EN" advise="1">
        <values>
          <value>
            <val>1</val>
          </value>
        </values>
      </ddeItem>
      <ddeItem name="ai[66].RH.fix" advise="1">
        <values>
          <value>
            <val>0</val>
          </value>
        </values>
      </ddeItem>
      <ddeItem name="ai[66].RH.V" advise="1">
        <values>
          <value>
            <val>50</val>
          </value>
        </values>
      </ddeItem>
      <ddeItem name="ai[66].RL.EN" advise="1">
        <values>
          <value>
            <val>1</val>
          </value>
        </values>
      </ddeItem>
      <ddeItem name="ai[66].RL.fix" advise="1">
        <values>
          <value>
            <val>0</val>
          </value>
        </values>
      </ddeItem>
      <ddeItem name="ai[66].RL.V" advise="1">
        <values>
          <value>
            <val>30</val>
          </value>
        </values>
      </ddeItem>
      <ddeItem name="ai[66].state" advise="1">
        <values>
          <value>
            <val>4</val>
          </value>
        </values>
      </ddeItem>
      <ddeItem name="ai[66].v" advise="1">
        <values>
          <value>
            <val>0</val>
          </value>
        </values>
      </ddeItem>
      <ddeItem name="ai[66].vCorrect" advise="1"/>
      <ddeItem name="ai[66].vCut" advise="1"/>
      <ddeItem name="ai[66].vRaw" advise="1"/>
      <ddeItem name="ai[66].ZH" advise="1">
        <values>
          <value>
            <val>100</val>
          </value>
        </values>
      </ddeItem>
      <ddeItem name="ai[66].ZL" advise="1">
        <values>
          <value>
            <val>0</val>
          </value>
        </values>
      </ddeItem>
      <ddeItem name="ai[67].break.sgn" advise="1">
        <values>
          <value>
            <val>1</val>
          </value>
        </values>
      </ddeItem>
      <ddeItem name="ai[67].EN" advise="1">
        <values>
          <value>
            <val>1</val>
          </value>
        </values>
      </ddeItem>
      <ddeItem name="ai[67].group" advise="1">
        <values>
          <value>
            <val>2</val>
          </value>
        </values>
      </ddeItem>
      <ddeItem name="ai[67].H.EN" advise="1">
        <values>
          <value>
            <val>0</val>
          </value>
        </values>
      </ddeItem>
      <ddeItem name="ai[67].H.fix" advise="1">
        <values>
          <value>
            <val>0</val>
          </value>
        </values>
      </ddeItem>
      <ddeItem name="ai[67].H.V" advise="1">
        <values>
          <value>
            <val>0</val>
          </value>
        </values>
      </ddeItem>
      <ddeItem name="ai[67].HH.EN" advise="1">
        <values>
          <value>
            <val>0</val>
          </value>
        </values>
      </ddeItem>
      <ddeItem name="ai[67].HH.fix" advise="1">
        <values>
          <value>
            <val>0</val>
          </value>
        </values>
      </ddeItem>
      <ddeItem name="ai[67].HH.V" advise="1">
        <values>
          <value>
            <val>0</val>
          </value>
        </values>
      </ddeItem>
      <ddeItem name="ai[67].i" advise="1">
        <values>
          <value>
            <val>3.4551619999999999E-3</val>
          </value>
        </values>
      </ddeItem>
      <ddeItem name="ai[67].isCorrect" advise="1">
        <values>
          <value>
            <val>0</val>
          </value>
        </values>
      </ddeItem>
      <ddeItem name="ai[67].isCut" advise="1"/>
      <ddeItem name="ai[67].isForce" advise="1">
        <values>
          <value>
            <val>0</val>
          </value>
        </values>
      </ddeItem>
      <ddeItem name="ai[67].isInvScale" advise="1">
        <values>
          <value>
            <val>0</val>
          </value>
        </values>
      </ddeItem>
      <ddeItem name="ai[67].L.EN" advise="1">
        <values>
          <value>
            <val>0</val>
          </value>
        </values>
      </ddeItem>
      <ddeItem name="ai[67].L.fix" advise="1">
        <values>
          <value>
            <val>0</val>
          </value>
        </values>
      </ddeItem>
      <ddeItem name="ai[67].L.V" advise="1">
        <values>
          <value>
            <val>0</val>
          </value>
        </values>
      </ddeItem>
      <ddeItem name="ai[67].LL.EN" advise="1">
        <values>
          <value>
            <val>0</val>
          </value>
        </values>
      </ddeItem>
      <ddeItem name="ai[67].LL.fix" advise="1">
        <values>
          <value>
            <val>0</val>
          </value>
        </values>
      </ddeItem>
      <ddeItem name="ai[67].LL.V" advise="1">
        <values>
          <value>
            <val>0</val>
          </value>
        </values>
      </ddeItem>
      <ddeItem name="ai[67].RH.EN" advise="1">
        <values>
          <value>
            <val>1</val>
          </value>
        </values>
      </ddeItem>
      <ddeItem name="ai[67].RH.fix" advise="1">
        <values>
          <value>
            <val>0</val>
          </value>
        </values>
      </ddeItem>
      <ddeItem name="ai[67].RH.V" advise="1">
        <values>
          <value>
            <val>80</val>
          </value>
        </values>
      </ddeItem>
      <ddeItem name="ai[67].RL.EN" advise="1">
        <values>
          <value>
            <val>1</val>
          </value>
        </values>
      </ddeItem>
      <ddeItem name="ai[67].RL.fix" advise="1">
        <values>
          <value>
            <val>0</val>
          </value>
        </values>
      </ddeItem>
      <ddeItem name="ai[67].RL.V" advise="1">
        <values>
          <value>
            <val>20</val>
          </value>
        </values>
      </ddeItem>
      <ddeItem name="ai[67].state" advise="1">
        <values>
          <value>
            <val>4</val>
          </value>
        </values>
      </ddeItem>
      <ddeItem name="ai[67].v" advise="1">
        <values>
          <value>
            <val>0</val>
          </value>
        </values>
      </ddeItem>
      <ddeItem name="ai[67].vCorrect" advise="1"/>
      <ddeItem name="ai[67].vCut" advise="1"/>
      <ddeItem name="ai[67].vRaw" advise="1"/>
      <ddeItem name="ai[67].ZH" advise="1">
        <values>
          <value>
            <val>100</val>
          </value>
        </values>
      </ddeItem>
      <ddeItem name="ai[67].ZL" advise="1">
        <values>
          <value>
            <val>0</val>
          </value>
        </values>
      </ddeItem>
      <ddeItem name="ai[68].break.sgn" advise="1">
        <values>
          <value>
            <val>1</val>
          </value>
        </values>
      </ddeItem>
      <ddeItem name="ai[68].EN" advise="1">
        <values>
          <value>
            <val>1</val>
          </value>
        </values>
      </ddeItem>
      <ddeItem name="ai[68].group" advise="1">
        <values>
          <value>
            <val>2</val>
          </value>
        </values>
      </ddeItem>
      <ddeItem name="ai[68].H.EN" advise="1">
        <values>
          <value>
            <val>0</val>
          </value>
        </values>
      </ddeItem>
      <ddeItem name="ai[68].H.fix" advise="1">
        <values>
          <value>
            <val>0</val>
          </value>
        </values>
      </ddeItem>
      <ddeItem name="ai[68].H.V" advise="1">
        <values>
          <value>
            <val>0</val>
          </value>
        </values>
      </ddeItem>
      <ddeItem name="ai[68].HH.EN" advise="1">
        <values>
          <value>
            <val>0</val>
          </value>
        </values>
      </ddeItem>
      <ddeItem name="ai[68].HH.fix" advise="1">
        <values>
          <value>
            <val>0</val>
          </value>
        </values>
      </ddeItem>
      <ddeItem name="ai[68].HH.V" advise="1">
        <values>
          <value>
            <val>0</val>
          </value>
        </values>
      </ddeItem>
      <ddeItem name="ai[68].i" advise="1">
        <values>
          <value>
            <val>1.2559890000000001E-3</val>
          </value>
        </values>
      </ddeItem>
      <ddeItem name="ai[68].isCorrect" advise="1">
        <values>
          <value>
            <val>0</val>
          </value>
        </values>
      </ddeItem>
      <ddeItem name="ai[68].isCut" advise="1"/>
      <ddeItem name="ai[68].isForce" advise="1">
        <values>
          <value>
            <val>0</val>
          </value>
        </values>
      </ddeItem>
      <ddeItem name="ai[68].isInvScale" advise="1">
        <values>
          <value>
            <val>0</val>
          </value>
        </values>
      </ddeItem>
      <ddeItem name="ai[68].L.EN" advise="1">
        <values>
          <value>
            <val>0</val>
          </value>
        </values>
      </ddeItem>
      <ddeItem name="ai[68].L.fix" advise="1">
        <values>
          <value>
            <val>0</val>
          </value>
        </values>
      </ddeItem>
      <ddeItem name="ai[68].L.V" advise="1">
        <values>
          <value>
            <val>0</val>
          </value>
        </values>
      </ddeItem>
      <ddeItem name="ai[68].LL.EN" advise="1">
        <values>
          <value>
            <val>0</val>
          </value>
        </values>
      </ddeItem>
      <ddeItem name="ai[68].LL.fix" advise="1">
        <values>
          <value>
            <val>0</val>
          </value>
        </values>
      </ddeItem>
      <ddeItem name="ai[68].LL.V" advise="1">
        <values>
          <value>
            <val>0</val>
          </value>
        </values>
      </ddeItem>
      <ddeItem name="ai[68].RH.EN" advise="1">
        <values>
          <value>
            <val>1</val>
          </value>
        </values>
      </ddeItem>
      <ddeItem name="ai[68].RH.fix" advise="1">
        <values>
          <value>
            <val>0</val>
          </value>
        </values>
      </ddeItem>
      <ddeItem name="ai[68].RH.V" advise="1">
        <values>
          <value>
            <val>80</val>
          </value>
        </values>
      </ddeItem>
      <ddeItem name="ai[68].RL.EN" advise="1">
        <values>
          <value>
            <val>1</val>
          </value>
        </values>
      </ddeItem>
      <ddeItem name="ai[68].RL.fix" advise="1">
        <values>
          <value>
            <val>0</val>
          </value>
        </values>
      </ddeItem>
      <ddeItem name="ai[68].RL.V" advise="1">
        <values>
          <value>
            <val>20</val>
          </value>
        </values>
      </ddeItem>
      <ddeItem name="ai[68].state" advise="1">
        <values>
          <value>
            <val>4</val>
          </value>
        </values>
      </ddeItem>
      <ddeItem name="ai[68].v" advise="1">
        <values>
          <value>
            <val>0</val>
          </value>
        </values>
      </ddeItem>
      <ddeItem name="ai[68].vCorrect" advise="1"/>
      <ddeItem name="ai[68].vCut" advise="1"/>
      <ddeItem name="ai[68].vRaw" advise="1"/>
      <ddeItem name="ai[68].ZH" advise="1">
        <values>
          <value>
            <val>100</val>
          </value>
        </values>
      </ddeItem>
      <ddeItem name="ai[68].ZL" advise="1">
        <values>
          <value>
            <val>0</val>
          </value>
        </values>
      </ddeItem>
      <ddeItem name="ai[69].break.sgn" advise="1">
        <values>
          <value>
            <val>1</val>
          </value>
        </values>
      </ddeItem>
      <ddeItem name="ai[69].EN" advise="1">
        <values>
          <value>
            <val>1</val>
          </value>
        </values>
      </ddeItem>
      <ddeItem name="ai[69].group" advise="1">
        <values>
          <value>
            <val>2</val>
          </value>
        </values>
      </ddeItem>
      <ddeItem name="ai[69].H.EN" advise="1">
        <values>
          <value>
            <val>0</val>
          </value>
        </values>
      </ddeItem>
      <ddeItem name="ai[69].H.fix" advise="1">
        <values>
          <value>
            <val>0</val>
          </value>
        </values>
      </ddeItem>
      <ddeItem name="ai[69].H.V" advise="1">
        <values>
          <value>
            <val>0</val>
          </value>
        </values>
      </ddeItem>
      <ddeItem name="ai[69].HH.EN" advise="1">
        <values>
          <value>
            <val>0</val>
          </value>
        </values>
      </ddeItem>
      <ddeItem name="ai[69].HH.fix" advise="1">
        <values>
          <value>
            <val>0</val>
          </value>
        </values>
      </ddeItem>
      <ddeItem name="ai[69].HH.V" advise="1">
        <values>
          <value>
            <val>0</val>
          </value>
        </values>
      </ddeItem>
      <ddeItem name="ai[69].i" advise="1">
        <values>
          <value>
            <val>1.8844599999999999E-3</val>
          </value>
        </values>
      </ddeItem>
      <ddeItem name="ai[69].isCorrect" advise="1">
        <values>
          <value>
            <val>0</val>
          </value>
        </values>
      </ddeItem>
      <ddeItem name="ai[69].isCut" advise="1"/>
      <ddeItem name="ai[69].isForce" advise="1">
        <values>
          <value>
            <val>0</val>
          </value>
        </values>
      </ddeItem>
      <ddeItem name="ai[69].isInvScale" advise="1">
        <values>
          <value>
            <val>0</val>
          </value>
        </values>
      </ddeItem>
      <ddeItem name="ai[69].L.EN" advise="1">
        <values>
          <value>
            <val>0</val>
          </value>
        </values>
      </ddeItem>
      <ddeItem name="ai[69].L.fix" advise="1">
        <values>
          <value>
            <val>0</val>
          </value>
        </values>
      </ddeItem>
      <ddeItem name="ai[69].L.V" advise="1">
        <values>
          <value>
            <val>0</val>
          </value>
        </values>
      </ddeItem>
      <ddeItem name="ai[69].LL.EN" advise="1">
        <values>
          <value>
            <val>0</val>
          </value>
        </values>
      </ddeItem>
      <ddeItem name="ai[69].LL.fix" advise="1">
        <values>
          <value>
            <val>0</val>
          </value>
        </values>
      </ddeItem>
      <ddeItem name="ai[69].LL.V" advise="1">
        <values>
          <value>
            <val>0</val>
          </value>
        </values>
      </ddeItem>
      <ddeItem name="ai[69].RH.EN" advise="1">
        <values>
          <value>
            <val>1</val>
          </value>
        </values>
      </ddeItem>
      <ddeItem name="ai[69].RH.fix" advise="1">
        <values>
          <value>
            <val>0</val>
          </value>
        </values>
      </ddeItem>
      <ddeItem name="ai[69].RH.V" advise="1">
        <values>
          <value>
            <val>80</val>
          </value>
        </values>
      </ddeItem>
      <ddeItem name="ai[69].RL.EN" advise="1">
        <values>
          <value>
            <val>1</val>
          </value>
        </values>
      </ddeItem>
      <ddeItem name="ai[69].RL.fix" advise="1">
        <values>
          <value>
            <val>0</val>
          </value>
        </values>
      </ddeItem>
      <ddeItem name="ai[69].RL.V" advise="1">
        <values>
          <value>
            <val>20</val>
          </value>
        </values>
      </ddeItem>
      <ddeItem name="ai[69].state" advise="1">
        <values>
          <value>
            <val>4</val>
          </value>
        </values>
      </ddeItem>
      <ddeItem name="ai[69].v" advise="1">
        <values>
          <value>
            <val>0</val>
          </value>
        </values>
      </ddeItem>
      <ddeItem name="ai[69].vCorrect" advise="1"/>
      <ddeItem name="ai[69].vCut" advise="1"/>
      <ddeItem name="ai[69].vRaw" advise="1"/>
      <ddeItem name="ai[69].ZH" advise="1">
        <values>
          <value>
            <val>100</val>
          </value>
        </values>
      </ddeItem>
      <ddeItem name="ai[69].ZL" advise="1">
        <values>
          <value>
            <val>0</val>
          </value>
        </values>
      </ddeItem>
      <ddeItem name="AI[7].break.sgn" advise="1">
        <values>
          <value>
            <val>1</val>
          </value>
        </values>
      </ddeItem>
      <ddeItem name="AI[7].EN" advise="1">
        <values>
          <value>
            <val>1</val>
          </value>
        </values>
      </ddeItem>
      <ddeItem name="AI[7].group" advise="1">
        <values>
          <value>
            <val>1</val>
          </value>
        </values>
      </ddeItem>
      <ddeItem name="AI[7].H.EN" advise="1">
        <values>
          <value>
            <val>1</val>
          </value>
        </values>
      </ddeItem>
      <ddeItem name="AI[7].H.fix" advise="1">
        <values>
          <value>
            <val>0</val>
          </value>
        </values>
      </ddeItem>
      <ddeItem name="AI[7].H.V" advise="1">
        <values>
          <value>
            <val>170</val>
          </value>
        </values>
      </ddeItem>
      <ddeItem name="AI[7].HH.EN" advise="1">
        <values>
          <value>
            <val>1</val>
          </value>
        </values>
      </ddeItem>
      <ddeItem name="AI[7].HH.fix" advise="1">
        <values>
          <value>
            <val>0</val>
          </value>
        </values>
      </ddeItem>
      <ddeItem name="AI[7].HH.V" advise="1">
        <values>
          <value>
            <val>240</val>
          </value>
        </values>
      </ddeItem>
      <ddeItem name="AI[7].i" advise="1">
        <values>
          <value>
            <val>4.08268E-3</val>
          </value>
        </values>
      </ddeItem>
      <ddeItem name="AI[7].isCorrect" advise="1">
        <values>
          <value>
            <val>0</val>
          </value>
        </values>
      </ddeItem>
      <ddeItem name="AI[7].isCut" advise="1"/>
      <ddeItem name="AI[7].isForce" advise="1">
        <values>
          <value>
            <val>0</val>
          </value>
        </values>
      </ddeItem>
      <ddeItem name="AI[7].isInvScale" advise="1">
        <values>
          <value>
            <val>0</val>
          </value>
        </values>
      </ddeItem>
      <ddeItem name="AI[7].L.EN" advise="1">
        <values>
          <value>
            <val>0</val>
          </value>
        </values>
      </ddeItem>
      <ddeItem name="AI[7].L.fix" advise="1">
        <values>
          <value>
            <val>0</val>
          </value>
        </values>
      </ddeItem>
      <ddeItem name="AI[7].L.V" advise="1">
        <values>
          <value>
            <val>0</val>
          </value>
        </values>
      </ddeItem>
      <ddeItem name="AI[7].LL.EN" advise="1">
        <values>
          <value>
            <val>0</val>
          </value>
        </values>
      </ddeItem>
      <ddeItem name="AI[7].LL.fix" advise="1">
        <values>
          <value>
            <val>0</val>
          </value>
        </values>
      </ddeItem>
      <ddeItem name="AI[7].LL.V" advise="1">
        <values>
          <value>
            <val>0</val>
          </value>
        </values>
      </ddeItem>
      <ddeItem name="AI[7].RH.EN" advise="1">
        <values>
          <value>
            <val>1</val>
          </value>
        </values>
      </ddeItem>
      <ddeItem name="AI[7].RH.fix" advise="1">
        <values>
          <value>
            <val>0</val>
          </value>
        </values>
      </ddeItem>
      <ddeItem name="AI[7].RH.V" advise="1">
        <values>
          <value>
            <val>240</val>
          </value>
        </values>
      </ddeItem>
      <ddeItem name="AI[7].RL.EN" advise="1">
        <values>
          <value>
            <val>1</val>
          </value>
        </values>
      </ddeItem>
      <ddeItem name="AI[7].RL.fix" advise="1">
        <values>
          <value>
            <val>0</val>
          </value>
        </values>
      </ddeItem>
      <ddeItem name="AI[7].RL.V" advise="1">
        <values>
          <value>
            <val>0</val>
          </value>
        </values>
      </ddeItem>
      <ddeItem name="AI[7].state" advise="1">
        <values>
          <value>
            <val>4</val>
          </value>
        </values>
      </ddeItem>
      <ddeItem name="AI[7].v" advise="1">
        <values>
          <value>
            <val>0</val>
          </value>
        </values>
      </ddeItem>
      <ddeItem name="AI[7].vCorrect" advise="1"/>
      <ddeItem name="AI[7].vCut" advise="1"/>
      <ddeItem name="AI[7].vRaw" advise="1"/>
      <ddeItem name="AI[7].ZH" advise="1">
        <values>
          <value>
            <val>300</val>
          </value>
        </values>
      </ddeItem>
      <ddeItem name="AI[7].ZL" advise="1">
        <values>
          <value>
            <val>0</val>
          </value>
        </values>
      </ddeItem>
      <ddeItem name="ai[70].break.sgn" advise="1">
        <values>
          <value>
            <val>1</val>
          </value>
        </values>
      </ddeItem>
      <ddeItem name="ai[70].EN" advise="1">
        <values>
          <value>
            <val>1</val>
          </value>
        </values>
      </ddeItem>
      <ddeItem name="ai[70].group" advise="1">
        <values>
          <value>
            <val>2</val>
          </value>
        </values>
      </ddeItem>
      <ddeItem name="ai[70].H.EN" advise="1">
        <values>
          <value>
            <val>0</val>
          </value>
        </values>
      </ddeItem>
      <ddeItem name="ai[70].H.fix" advise="1">
        <values>
          <value>
            <val>0</val>
          </value>
        </values>
      </ddeItem>
      <ddeItem name="ai[70].H.V" advise="1">
        <values>
          <value>
            <val>0</val>
          </value>
        </values>
      </ddeItem>
      <ddeItem name="ai[70].HH.EN" advise="1">
        <values>
          <value>
            <val>0</val>
          </value>
        </values>
      </ddeItem>
      <ddeItem name="ai[70].HH.fix" advise="1">
        <values>
          <value>
            <val>0</val>
          </value>
        </values>
      </ddeItem>
      <ddeItem name="ai[70].HH.V" advise="1">
        <values>
          <value>
            <val>0</val>
          </value>
        </values>
      </ddeItem>
      <ddeItem name="ai[70].i" advise="1">
        <values>
          <value>
            <val>1.8844599999999999E-3</val>
          </value>
        </values>
      </ddeItem>
      <ddeItem name="ai[70].isCorrect" advise="1">
        <values>
          <value>
            <val>0</val>
          </value>
        </values>
      </ddeItem>
      <ddeItem name="ai[70].isCut" advise="1"/>
      <ddeItem name="ai[70].isForce" advise="1">
        <values>
          <value>
            <val>0</val>
          </value>
        </values>
      </ddeItem>
      <ddeItem name="ai[70].isInvScale" advise="1">
        <values>
          <value>
            <val>0</val>
          </value>
        </values>
      </ddeItem>
      <ddeItem name="ai[70].L.EN" advise="1">
        <values>
          <value>
            <val>0</val>
          </value>
        </values>
      </ddeItem>
      <ddeItem name="ai[70].L.fix" advise="1">
        <values>
          <value>
            <val>0</val>
          </value>
        </values>
      </ddeItem>
      <ddeItem name="ai[70].L.V" advise="1">
        <values>
          <value>
            <val>0</val>
          </value>
        </values>
      </ddeItem>
      <ddeItem name="ai[70].LL.EN" advise="1">
        <values>
          <value>
            <val>0</val>
          </value>
        </values>
      </ddeItem>
      <ddeItem name="ai[70].LL.fix" advise="1">
        <values>
          <value>
            <val>0</val>
          </value>
        </values>
      </ddeItem>
      <ddeItem name="ai[70].LL.V" advise="1">
        <values>
          <value>
            <val>0</val>
          </value>
        </values>
      </ddeItem>
      <ddeItem name="ai[70].RH.EN" advise="1">
        <values>
          <value>
            <val>1</val>
          </value>
        </values>
      </ddeItem>
      <ddeItem name="ai[70].RH.fix" advise="1">
        <values>
          <value>
            <val>0</val>
          </value>
        </values>
      </ddeItem>
      <ddeItem name="ai[70].RH.V" advise="1">
        <values>
          <value>
            <val>80</val>
          </value>
        </values>
      </ddeItem>
      <ddeItem name="ai[70].RL.EN" advise="1">
        <values>
          <value>
            <val>1</val>
          </value>
        </values>
      </ddeItem>
      <ddeItem name="ai[70].RL.fix" advise="1">
        <values>
          <value>
            <val>0</val>
          </value>
        </values>
      </ddeItem>
      <ddeItem name="ai[70].RL.V" advise="1">
        <values>
          <value>
            <val>20</val>
          </value>
        </values>
      </ddeItem>
      <ddeItem name="ai[70].state" advise="1">
        <values>
          <value>
            <val>4</val>
          </value>
        </values>
      </ddeItem>
      <ddeItem name="ai[70].v" advise="1">
        <values>
          <value>
            <val>0</val>
          </value>
        </values>
      </ddeItem>
      <ddeItem name="ai[70].vCorrect" advise="1"/>
      <ddeItem name="ai[70].vCut" advise="1"/>
      <ddeItem name="ai[70].vRaw" advise="1"/>
      <ddeItem name="ai[70].ZH" advise="1">
        <values>
          <value>
            <val>100</val>
          </value>
        </values>
      </ddeItem>
      <ddeItem name="ai[70].ZL" advise="1">
        <values>
          <value>
            <val>0</val>
          </value>
        </values>
      </ddeItem>
      <ddeItem name="ai[71].break.sgn" advise="1">
        <values>
          <value>
            <val>1</val>
          </value>
        </values>
      </ddeItem>
      <ddeItem name="ai[71].EN" advise="1">
        <values>
          <value>
            <val>1</val>
          </value>
        </values>
      </ddeItem>
      <ddeItem name="ai[71].group" advise="1">
        <values>
          <value>
            <val>2</val>
          </value>
        </values>
      </ddeItem>
      <ddeItem name="ai[71].H.EN" advise="1">
        <values>
          <value>
            <val>0</val>
          </value>
        </values>
      </ddeItem>
      <ddeItem name="ai[71].H.fix" advise="1">
        <values>
          <value>
            <val>0</val>
          </value>
        </values>
      </ddeItem>
      <ddeItem name="ai[71].H.V" advise="1">
        <values>
          <value>
            <val>0</val>
          </value>
        </values>
      </ddeItem>
      <ddeItem name="ai[71].HH.EN" advise="1">
        <values>
          <value>
            <val>0</val>
          </value>
        </values>
      </ddeItem>
      <ddeItem name="ai[71].HH.fix" advise="1">
        <values>
          <value>
            <val>0</val>
          </value>
        </values>
      </ddeItem>
      <ddeItem name="ai[71].HH.V" advise="1">
        <values>
          <value>
            <val>0</val>
          </value>
        </values>
      </ddeItem>
      <ddeItem name="ai[71].i" advise="1">
        <values>
          <value>
            <val>1.8844599999999999E-3</val>
          </value>
        </values>
      </ddeItem>
      <ddeItem name="ai[71].isCorrect" advise="1">
        <values>
          <value>
            <val>0</val>
          </value>
        </values>
      </ddeItem>
      <ddeItem name="ai[71].isCut" advise="1"/>
      <ddeItem name="ai[71].isForce" advise="1">
        <values>
          <value>
            <val>0</val>
          </value>
        </values>
      </ddeItem>
      <ddeItem name="ai[71].isInvScale" advise="1">
        <values>
          <value>
            <val>0</val>
          </value>
        </values>
      </ddeItem>
      <ddeItem name="ai[71].L.EN" advise="1">
        <values>
          <value>
            <val>0</val>
          </value>
        </values>
      </ddeItem>
      <ddeItem name="ai[71].L.fix" advise="1">
        <values>
          <value>
            <val>0</val>
          </value>
        </values>
      </ddeItem>
      <ddeItem name="ai[71].L.V" advise="1">
        <values>
          <value>
            <val>0</val>
          </value>
        </values>
      </ddeItem>
      <ddeItem name="ai[71].LL.EN" advise="1">
        <values>
          <value>
            <val>0</val>
          </value>
        </values>
      </ddeItem>
      <ddeItem name="ai[71].LL.fix" advise="1">
        <values>
          <value>
            <val>0</val>
          </value>
        </values>
      </ddeItem>
      <ddeItem name="ai[71].LL.V" advise="1">
        <values>
          <value>
            <val>0</val>
          </value>
        </values>
      </ddeItem>
      <ddeItem name="ai[71].RH.EN" advise="1">
        <values>
          <value>
            <val>1</val>
          </value>
        </values>
      </ddeItem>
      <ddeItem name="ai[71].RH.fix" advise="1">
        <values>
          <value>
            <val>0</val>
          </value>
        </values>
      </ddeItem>
      <ddeItem name="ai[71].RH.V" advise="1">
        <values>
          <value>
            <val>80</val>
          </value>
        </values>
      </ddeItem>
      <ddeItem name="ai[71].RL.EN" advise="1">
        <values>
          <value>
            <val>1</val>
          </value>
        </values>
      </ddeItem>
      <ddeItem name="ai[71].RL.fix" advise="1">
        <values>
          <value>
            <val>0</val>
          </value>
        </values>
      </ddeItem>
      <ddeItem name="ai[71].RL.V" advise="1">
        <values>
          <value>
            <val>20</val>
          </value>
        </values>
      </ddeItem>
      <ddeItem name="ai[71].state" advise="1">
        <values>
          <value>
            <val>4</val>
          </value>
        </values>
      </ddeItem>
      <ddeItem name="ai[71].v" advise="1">
        <values>
          <value>
            <val>0</val>
          </value>
        </values>
      </ddeItem>
      <ddeItem name="ai[71].vCorrect" advise="1"/>
      <ddeItem name="ai[71].vCut" advise="1"/>
      <ddeItem name="ai[71].vRaw" advise="1"/>
      <ddeItem name="ai[71].ZH" advise="1">
        <values>
          <value>
            <val>100</val>
          </value>
        </values>
      </ddeItem>
      <ddeItem name="ai[71].ZL" advise="1">
        <values>
          <value>
            <val>0</val>
          </value>
        </values>
      </ddeItem>
      <ddeItem name="ai[72].break.sgn" advise="1">
        <values>
          <value>
            <val>1</val>
          </value>
        </values>
      </ddeItem>
      <ddeItem name="ai[72].EN" advise="1">
        <values>
          <value>
            <val>1</val>
          </value>
        </values>
      </ddeItem>
      <ddeItem name="ai[72].group" advise="1">
        <values>
          <value>
            <val>2</val>
          </value>
        </values>
      </ddeItem>
      <ddeItem name="ai[72].H.EN" advise="1">
        <values>
          <value>
            <val>0</val>
          </value>
        </values>
      </ddeItem>
      <ddeItem name="ai[72].H.fix" advise="1">
        <values>
          <value>
            <val>0</val>
          </value>
        </values>
      </ddeItem>
      <ddeItem name="ai[72].H.V" advise="1">
        <values>
          <value>
            <val>0</val>
          </value>
        </values>
      </ddeItem>
      <ddeItem name="ai[72].HH.EN" advise="1">
        <values>
          <value>
            <val>0</val>
          </value>
        </values>
      </ddeItem>
      <ddeItem name="ai[72].HH.fix" advise="1">
        <values>
          <value>
            <val>0</val>
          </value>
        </values>
      </ddeItem>
      <ddeItem name="ai[72].HH.V" advise="1">
        <values>
          <value>
            <val>0</val>
          </value>
        </values>
      </ddeItem>
      <ddeItem name="ai[72].i" advise="1">
        <values>
          <value>
            <val>9.4223020000000002E-4</val>
          </value>
        </values>
      </ddeItem>
      <ddeItem name="ai[72].isCorrect" advise="1">
        <values>
          <value>
            <val>0</val>
          </value>
        </values>
      </ddeItem>
      <ddeItem name="ai[72].isCut" advise="1"/>
      <ddeItem name="ai[72].isForce" advise="1">
        <values>
          <value>
            <val>0</val>
          </value>
        </values>
      </ddeItem>
      <ddeItem name="ai[72].isInvScale" advise="1">
        <values>
          <value>
            <val>0</val>
          </value>
        </values>
      </ddeItem>
      <ddeItem name="ai[72].L.EN" advise="1">
        <values>
          <value>
            <val>0</val>
          </value>
        </values>
      </ddeItem>
      <ddeItem name="ai[72].L.fix" advise="1">
        <values>
          <value>
            <val>0</val>
          </value>
        </values>
      </ddeItem>
      <ddeItem name="ai[72].L.V" advise="1">
        <values>
          <value>
            <val>0</val>
          </value>
        </values>
      </ddeItem>
      <ddeItem name="ai[72].LL.EN" advise="1">
        <values>
          <value>
            <val>0</val>
          </value>
        </values>
      </ddeItem>
      <ddeItem name="ai[72].LL.fix" advise="1">
        <values>
          <value>
            <val>0</val>
          </value>
        </values>
      </ddeItem>
      <ddeItem name="ai[72].LL.V" advise="1">
        <values>
          <value>
            <val>0</val>
          </value>
        </values>
      </ddeItem>
      <ddeItem name="ai[72].RH.EN" advise="1">
        <values>
          <value>
            <val>1</val>
          </value>
        </values>
      </ddeItem>
      <ddeItem name="ai[72].RH.fix" advise="1">
        <values>
          <value>
            <val>0</val>
          </value>
        </values>
      </ddeItem>
      <ddeItem name="ai[72].RH.V" advise="1">
        <values>
          <value>
            <val>80</val>
          </value>
        </values>
      </ddeItem>
      <ddeItem name="ai[72].RL.EN" advise="1">
        <values>
          <value>
            <val>1</val>
          </value>
        </values>
      </ddeItem>
      <ddeItem name="ai[72].RL.fix" advise="1">
        <values>
          <value>
            <val>0</val>
          </value>
        </values>
      </ddeItem>
      <ddeItem name="ai[72].RL.V" advise="1">
        <values>
          <value>
            <val>20</val>
          </value>
        </values>
      </ddeItem>
      <ddeItem name="ai[72].state" advise="1">
        <values>
          <value>
            <val>4</val>
          </value>
        </values>
      </ddeItem>
      <ddeItem name="ai[72].v" advise="1">
        <values>
          <value>
            <val>0</val>
          </value>
        </values>
      </ddeItem>
      <ddeItem name="ai[72].vCorrect" advise="1"/>
      <ddeItem name="ai[72].vCut" advise="1"/>
      <ddeItem name="ai[72].vRaw" advise="1"/>
      <ddeItem name="ai[72].ZH" advise="1">
        <values>
          <value>
            <val>100</val>
          </value>
        </values>
      </ddeItem>
      <ddeItem name="ai[72].ZL" advise="1">
        <values>
          <value>
            <val>0</val>
          </value>
        </values>
      </ddeItem>
      <ddeItem name="ai[73].break.sgn" advise="1">
        <values>
          <value>
            <val>1</val>
          </value>
        </values>
      </ddeItem>
      <ddeItem name="ai[73].EN" advise="1">
        <values>
          <value>
            <val>1</val>
          </value>
        </values>
      </ddeItem>
      <ddeItem name="ai[73].group" advise="1">
        <values>
          <value>
            <val>2</val>
          </value>
        </values>
      </ddeItem>
      <ddeItem name="ai[73].H.EN" advise="1">
        <values>
          <value>
            <val>0</val>
          </value>
        </values>
      </ddeItem>
      <ddeItem name="ai[73].H.fix" advise="1">
        <values>
          <value>
            <val>0</val>
          </value>
        </values>
      </ddeItem>
      <ddeItem name="ai[73].H.V" advise="1">
        <values>
          <value>
            <val>0</val>
          </value>
        </values>
      </ddeItem>
      <ddeItem name="ai[73].HH.EN" advise="1">
        <values>
          <value>
            <val>0</val>
          </value>
        </values>
      </ddeItem>
      <ddeItem name="ai[73].HH.fix" advise="1">
        <values>
          <value>
            <val>0</val>
          </value>
        </values>
      </ddeItem>
      <ddeItem name="ai[73].HH.V" advise="1">
        <values>
          <value>
            <val>0</val>
          </value>
        </values>
      </ddeItem>
      <ddeItem name="ai[73].i" advise="1">
        <values>
          <value>
            <val>1.2559890000000001E-3</val>
          </value>
        </values>
      </ddeItem>
      <ddeItem name="ai[73].isCorrect" advise="1">
        <values>
          <value>
            <val>0</val>
          </value>
        </values>
      </ddeItem>
      <ddeItem name="ai[73].isCut" advise="1"/>
      <ddeItem name="ai[73].isForce" advise="1">
        <values>
          <value>
            <val>0</val>
          </value>
        </values>
      </ddeItem>
      <ddeItem name="ai[73].isInvScale" advise="1">
        <values>
          <value>
            <val>0</val>
          </value>
        </values>
      </ddeItem>
      <ddeItem name="ai[73].L.EN" advise="1">
        <values>
          <value>
            <val>0</val>
          </value>
        </values>
      </ddeItem>
      <ddeItem name="ai[73].L.fix" advise="1">
        <values>
          <value>
            <val>0</val>
          </value>
        </values>
      </ddeItem>
      <ddeItem name="ai[73].L.V" advise="1">
        <values>
          <value>
            <val>0</val>
          </value>
        </values>
      </ddeItem>
      <ddeItem name="ai[73].LL.EN" advise="1">
        <values>
          <value>
            <val>0</val>
          </value>
        </values>
      </ddeItem>
      <ddeItem name="ai[73].LL.fix" advise="1">
        <values>
          <value>
            <val>0</val>
          </value>
        </values>
      </ddeItem>
      <ddeItem name="ai[73].LL.V" advise="1">
        <values>
          <value>
            <val>0</val>
          </value>
        </values>
      </ddeItem>
      <ddeItem name="ai[73].RH.EN" advise="1">
        <values>
          <value>
            <val>1</val>
          </value>
        </values>
      </ddeItem>
      <ddeItem name="ai[73].RH.fix" advise="1">
        <values>
          <value>
            <val>0</val>
          </value>
        </values>
      </ddeItem>
      <ddeItem name="ai[73].RH.V" advise="1">
        <values>
          <value>
            <val>170</val>
          </value>
        </values>
      </ddeItem>
      <ddeItem name="ai[73].RL.EN" advise="1">
        <values>
          <value>
            <val>1</val>
          </value>
        </values>
      </ddeItem>
      <ddeItem name="ai[73].RL.fix" advise="1">
        <values>
          <value>
            <val>0</val>
          </value>
        </values>
      </ddeItem>
      <ddeItem name="ai[73].RL.V" advise="1">
        <values>
          <value>
            <val>160</val>
          </value>
        </values>
      </ddeItem>
      <ddeItem name="ai[73].state" advise="1">
        <values>
          <value>
            <val>4</val>
          </value>
        </values>
      </ddeItem>
      <ddeItem name="ai[73].v" advise="1">
        <values>
          <value>
            <val>0</val>
          </value>
        </values>
      </ddeItem>
      <ddeItem name="ai[73].vCorrect" advise="1"/>
      <ddeItem name="ai[73].vCut" advise="1"/>
      <ddeItem name="ai[73].vRaw" advise="1"/>
      <ddeItem name="ai[73].ZH" advise="1">
        <values>
          <value>
            <val>300</val>
          </value>
        </values>
      </ddeItem>
      <ddeItem name="ai[73].ZL" advise="1">
        <values>
          <value>
            <val>0</val>
          </value>
        </values>
      </ddeItem>
      <ddeItem name="ai[74].break.sgn" advise="1">
        <values>
          <value>
            <val>1</val>
          </value>
        </values>
      </ddeItem>
      <ddeItem name="ai[74].EN" advise="1">
        <values>
          <value>
            <val>1</val>
          </value>
        </values>
      </ddeItem>
      <ddeItem name="ai[74].group" advise="1">
        <values>
          <value>
            <val>2</val>
          </value>
        </values>
      </ddeItem>
      <ddeItem name="ai[74].H.EN" advise="1">
        <values>
          <value>
            <val>0</val>
          </value>
        </values>
      </ddeItem>
      <ddeItem name="ai[74].H.fix" advise="1">
        <values>
          <value>
            <val>0</val>
          </value>
        </values>
      </ddeItem>
      <ddeItem name="ai[74].H.V" advise="1">
        <values>
          <value>
            <val>0</val>
          </value>
        </values>
      </ddeItem>
      <ddeItem name="ai[74].HH.EN" advise="1">
        <values>
          <value>
            <val>0</val>
          </value>
        </values>
      </ddeItem>
      <ddeItem name="ai[74].HH.fix" advise="1">
        <values>
          <value>
            <val>0</val>
          </value>
        </values>
      </ddeItem>
      <ddeItem name="ai[74].HH.V" advise="1">
        <values>
          <value>
            <val>0</val>
          </value>
        </values>
      </ddeItem>
      <ddeItem name="ai[74].i" advise="1">
        <values>
          <value>
            <val>1.2559890000000001E-3</val>
          </value>
        </values>
      </ddeItem>
      <ddeItem name="ai[74].isCorrect" advise="1">
        <values>
          <value>
            <val>0</val>
          </value>
        </values>
      </ddeItem>
      <ddeItem name="ai[74].isCut" advise="1"/>
      <ddeItem name="ai[74].isForce" advise="1">
        <values>
          <value>
            <val>0</val>
          </value>
        </values>
      </ddeItem>
      <ddeItem name="ai[74].isInvScale" advise="1">
        <values>
          <value>
            <val>0</val>
          </value>
        </values>
      </ddeItem>
      <ddeItem name="ai[74].L.EN" advise="1">
        <values>
          <value>
            <val>0</val>
          </value>
        </values>
      </ddeItem>
      <ddeItem name="ai[74].L.fix" advise="1">
        <values>
          <value>
            <val>0</val>
          </value>
        </values>
      </ddeItem>
      <ddeItem name="ai[74].L.V" advise="1">
        <values>
          <value>
            <val>0</val>
          </value>
        </values>
      </ddeItem>
      <ddeItem name="ai[74].LL.EN" advise="1">
        <values>
          <value>
            <val>0</val>
          </value>
        </values>
      </ddeItem>
      <ddeItem name="ai[74].LL.fix" advise="1">
        <values>
          <value>
            <val>0</val>
          </value>
        </values>
      </ddeItem>
      <ddeItem name="ai[74].LL.V" advise="1">
        <values>
          <value>
            <val>0</val>
          </value>
        </values>
      </ddeItem>
      <ddeItem name="ai[74].RH.EN" advise="1">
        <values>
          <value>
            <val>1</val>
          </value>
        </values>
      </ddeItem>
      <ddeItem name="ai[74].RH.fix" advise="1">
        <values>
          <value>
            <val>0</val>
          </value>
        </values>
      </ddeItem>
      <ddeItem name="ai[74].RH.V" advise="1">
        <values>
          <value>
            <val>170</val>
          </value>
        </values>
      </ddeItem>
      <ddeItem name="ai[74].RL.EN" advise="1">
        <values>
          <value>
            <val>1</val>
          </value>
        </values>
      </ddeItem>
      <ddeItem name="ai[74].RL.fix" advise="1">
        <values>
          <value>
            <val>0</val>
          </value>
        </values>
      </ddeItem>
      <ddeItem name="ai[74].RL.V" advise="1">
        <values>
          <value>
            <val>160</val>
          </value>
        </values>
      </ddeItem>
      <ddeItem name="ai[74].state" advise="1">
        <values>
          <value>
            <val>4</val>
          </value>
        </values>
      </ddeItem>
      <ddeItem name="ai[74].v" advise="1">
        <values>
          <value>
            <val>0</val>
          </value>
        </values>
      </ddeItem>
      <ddeItem name="ai[74].vCorrect" advise="1"/>
      <ddeItem name="ai[74].vCut" advise="1"/>
      <ddeItem name="ai[74].vRaw" advise="1"/>
      <ddeItem name="ai[74].ZH" advise="1">
        <values>
          <value>
            <val>300</val>
          </value>
        </values>
      </ddeItem>
      <ddeItem name="ai[74].ZL" advise="1">
        <values>
          <value>
            <val>0</val>
          </value>
        </values>
      </ddeItem>
      <ddeItem name="ai[75].break.sgn" advise="1">
        <values>
          <value>
            <val>1</val>
          </value>
        </values>
      </ddeItem>
      <ddeItem name="ai[75].EN" advise="1">
        <values>
          <value>
            <val>1</val>
          </value>
        </values>
      </ddeItem>
      <ddeItem name="ai[75].group" advise="1">
        <values>
          <value>
            <val>2</val>
          </value>
        </values>
      </ddeItem>
      <ddeItem name="ai[75].H.EN" advise="1">
        <values>
          <value>
            <val>0</val>
          </value>
        </values>
      </ddeItem>
      <ddeItem name="ai[75].H.fix" advise="1">
        <values>
          <value>
            <val>0</val>
          </value>
        </values>
      </ddeItem>
      <ddeItem name="ai[75].H.V" advise="1">
        <values>
          <value>
            <val>0</val>
          </value>
        </values>
      </ddeItem>
      <ddeItem name="ai[75].HH.EN" advise="1">
        <values>
          <value>
            <val>0</val>
          </value>
        </values>
      </ddeItem>
      <ddeItem name="ai[75].HH.fix" advise="1">
        <values>
          <value>
            <val>0</val>
          </value>
        </values>
      </ddeItem>
      <ddeItem name="ai[75].HH.V" advise="1">
        <values>
          <value>
            <val>0</val>
          </value>
        </values>
      </ddeItem>
      <ddeItem name="ai[75].i" advise="1">
        <values>
          <value>
            <val>1.2559890000000001E-3</val>
          </value>
        </values>
      </ddeItem>
      <ddeItem name="ai[75].isCorrect" advise="1">
        <values>
          <value>
            <val>0</val>
          </value>
        </values>
      </ddeItem>
      <ddeItem name="ai[75].isCut" advise="1"/>
      <ddeItem name="ai[75].isForce" advise="1">
        <values>
          <value>
            <val>0</val>
          </value>
        </values>
      </ddeItem>
      <ddeItem name="ai[75].isInvScale" advise="1">
        <values>
          <value>
            <val>0</val>
          </value>
        </values>
      </ddeItem>
      <ddeItem name="ai[75].L.EN" advise="1">
        <values>
          <value>
            <val>0</val>
          </value>
        </values>
      </ddeItem>
      <ddeItem name="ai[75].L.fix" advise="1">
        <values>
          <value>
            <val>0</val>
          </value>
        </values>
      </ddeItem>
      <ddeItem name="ai[75].L.V" advise="1">
        <values>
          <value>
            <val>0</val>
          </value>
        </values>
      </ddeItem>
      <ddeItem name="ai[75].LL.EN" advise="1">
        <values>
          <value>
            <val>0</val>
          </value>
        </values>
      </ddeItem>
      <ddeItem name="ai[75].LL.fix" advise="1">
        <values>
          <value>
            <val>0</val>
          </value>
        </values>
      </ddeItem>
      <ddeItem name="ai[75].LL.V" advise="1">
        <values>
          <value>
            <val>0</val>
          </value>
        </values>
      </ddeItem>
      <ddeItem name="ai[75].RH.EN" advise="1">
        <values>
          <value>
            <val>1</val>
          </value>
        </values>
      </ddeItem>
      <ddeItem name="ai[75].RH.fix" advise="1">
        <values>
          <value>
            <val>0</val>
          </value>
        </values>
      </ddeItem>
      <ddeItem name="ai[75].RH.V" advise="1">
        <values>
          <value>
            <val>170</val>
          </value>
        </values>
      </ddeItem>
      <ddeItem name="ai[75].RL.EN" advise="1">
        <values>
          <value>
            <val>1</val>
          </value>
        </values>
      </ddeItem>
      <ddeItem name="ai[75].RL.fix" advise="1">
        <values>
          <value>
            <val>0</val>
          </value>
        </values>
      </ddeItem>
      <ddeItem name="ai[75].RL.V" advise="1">
        <values>
          <value>
            <val>160</val>
          </value>
        </values>
      </ddeItem>
      <ddeItem name="ai[75].state" advise="1">
        <values>
          <value>
            <val>4</val>
          </value>
        </values>
      </ddeItem>
      <ddeItem name="ai[75].v" advise="1">
        <values>
          <value>
            <val>0</val>
          </value>
        </values>
      </ddeItem>
      <ddeItem name="ai[75].vCorrect" advise="1"/>
      <ddeItem name="ai[75].vCut" advise="1"/>
      <ddeItem name="ai[75].vRaw" advise="1"/>
      <ddeItem name="ai[75].ZH" advise="1">
        <values>
          <value>
            <val>300</val>
          </value>
        </values>
      </ddeItem>
      <ddeItem name="ai[75].ZL" advise="1">
        <values>
          <value>
            <val>0</val>
          </value>
        </values>
      </ddeItem>
      <ddeItem name="ai[76].break.sgn" advise="1">
        <values>
          <value>
            <val>1</val>
          </value>
        </values>
      </ddeItem>
      <ddeItem name="ai[76].EN" advise="1">
        <values>
          <value>
            <val>1</val>
          </value>
        </values>
      </ddeItem>
      <ddeItem name="ai[76].group" advise="1">
        <values>
          <value>
            <val>2</val>
          </value>
        </values>
      </ddeItem>
      <ddeItem name="ai[76].H.EN" advise="1">
        <values>
          <value>
            <val>0</val>
          </value>
        </values>
      </ddeItem>
      <ddeItem name="ai[76].H.fix" advise="1">
        <values>
          <value>
            <val>0</val>
          </value>
        </values>
      </ddeItem>
      <ddeItem name="ai[76].H.V" advise="1">
        <values>
          <value>
            <val>0</val>
          </value>
        </values>
      </ddeItem>
      <ddeItem name="ai[76].HH.EN" advise="1">
        <values>
          <value>
            <val>0</val>
          </value>
        </values>
      </ddeItem>
      <ddeItem name="ai[76].HH.fix" advise="1">
        <values>
          <value>
            <val>0</val>
          </value>
        </values>
      </ddeItem>
      <ddeItem name="ai[76].HH.V" advise="1">
        <values>
          <value>
            <val>0</val>
          </value>
        </values>
      </ddeItem>
      <ddeItem name="ai[76].i" advise="1">
        <values>
          <value>
            <val>1.2559890000000001E-3</val>
          </value>
        </values>
      </ddeItem>
      <ddeItem name="ai[76].isCorrect" advise="1">
        <values>
          <value>
            <val>0</val>
          </value>
        </values>
      </ddeItem>
      <ddeItem name="ai[76].isCut" advise="1"/>
      <ddeItem name="ai[76].isForce" advise="1">
        <values>
          <value>
            <val>0</val>
          </value>
        </values>
      </ddeItem>
      <ddeItem name="ai[76].isInvScale" advise="1">
        <values>
          <value>
            <val>0</val>
          </value>
        </values>
      </ddeItem>
      <ddeItem name="ai[76].L.EN" advise="1">
        <values>
          <value>
            <val>0</val>
          </value>
        </values>
      </ddeItem>
      <ddeItem name="ai[76].L.fix" advise="1">
        <values>
          <value>
            <val>0</val>
          </value>
        </values>
      </ddeItem>
      <ddeItem name="ai[76].L.V" advise="1">
        <values>
          <value>
            <val>0</val>
          </value>
        </values>
      </ddeItem>
      <ddeItem name="ai[76].LL.EN" advise="1">
        <values>
          <value>
            <val>0</val>
          </value>
        </values>
      </ddeItem>
      <ddeItem name="ai[76].LL.fix" advise="1">
        <values>
          <value>
            <val>0</val>
          </value>
        </values>
      </ddeItem>
      <ddeItem name="ai[76].LL.V" advise="1">
        <values>
          <value>
            <val>0</val>
          </value>
        </values>
      </ddeItem>
      <ddeItem name="ai[76].RH.EN" advise="1">
        <values>
          <value>
            <val>1</val>
          </value>
        </values>
      </ddeItem>
      <ddeItem name="ai[76].RH.fix" advise="1">
        <values>
          <value>
            <val>0</val>
          </value>
        </values>
      </ddeItem>
      <ddeItem name="ai[76].RH.V" advise="1">
        <values>
          <value>
            <val>240</val>
          </value>
        </values>
      </ddeItem>
      <ddeItem name="ai[76].RL.EN" advise="1">
        <values>
          <value>
            <val>1</val>
          </value>
        </values>
      </ddeItem>
      <ddeItem name="ai[76].RL.fix" advise="1">
        <values>
          <value>
            <val>0</val>
          </value>
        </values>
      </ddeItem>
      <ddeItem name="ai[76].RL.V" advise="1">
        <values>
          <value>
            <val>0</val>
          </value>
        </values>
      </ddeItem>
      <ddeItem name="ai[76].state" advise="1">
        <values>
          <value>
            <val>4</val>
          </value>
        </values>
      </ddeItem>
      <ddeItem name="ai[76].v" advise="1">
        <values>
          <value>
            <val>0</val>
          </value>
        </values>
      </ddeItem>
      <ddeItem name="ai[76].vCorrect" advise="1"/>
      <ddeItem name="ai[76].vCut" advise="1"/>
      <ddeItem name="ai[76].vRaw" advise="1"/>
      <ddeItem name="ai[76].ZH" advise="1">
        <values>
          <value>
            <val>300</val>
          </value>
        </values>
      </ddeItem>
      <ddeItem name="ai[76].ZL" advise="1">
        <values>
          <value>
            <val>0</val>
          </value>
        </values>
      </ddeItem>
      <ddeItem name="ai[77].break.sgn" advise="1">
        <values>
          <value>
            <val>0</val>
          </value>
        </values>
      </ddeItem>
      <ddeItem name="ai[77].EN" advise="1">
        <values>
          <value>
            <val>0</val>
          </value>
        </values>
      </ddeItem>
      <ddeItem name="ai[77].group" advise="1">
        <values>
          <value>
            <val>0</val>
          </value>
        </values>
      </ddeItem>
      <ddeItem name="ai[77].H.EN" advise="1">
        <values>
          <value>
            <val>0</val>
          </value>
        </values>
      </ddeItem>
      <ddeItem name="ai[77].H.fix" advise="1">
        <values>
          <value>
            <val>0</val>
          </value>
        </values>
      </ddeItem>
      <ddeItem name="ai[77].H.V" advise="1">
        <values>
          <value>
            <val>0</val>
          </value>
        </values>
      </ddeItem>
      <ddeItem name="ai[77].HH.EN" advise="1">
        <values>
          <value>
            <val>0</val>
          </value>
        </values>
      </ddeItem>
      <ddeItem name="ai[77].HH.fix" advise="1">
        <values>
          <value>
            <val>0</val>
          </value>
        </values>
      </ddeItem>
      <ddeItem name="ai[77].HH.V" advise="1">
        <values>
          <value>
            <val>0</val>
          </value>
        </values>
      </ddeItem>
      <ddeItem name="ai[77].i" advise="1">
        <values>
          <value>
            <val>0</val>
          </value>
        </values>
      </ddeItem>
      <ddeItem name="ai[77].isCorrect" advise="1">
        <values>
          <value>
            <val>0</val>
          </value>
        </values>
      </ddeItem>
      <ddeItem name="ai[77].isCut" advise="1"/>
      <ddeItem name="ai[77].isForce" advise="1">
        <values>
          <value>
            <val>0</val>
          </value>
        </values>
      </ddeItem>
      <ddeItem name="ai[77].isInvScale" advise="1">
        <values>
          <value>
            <val>0</val>
          </value>
        </values>
      </ddeItem>
      <ddeItem name="ai[77].L.EN" advise="1">
        <values>
          <value>
            <val>0</val>
          </value>
        </values>
      </ddeItem>
      <ddeItem name="ai[77].L.fix" advise="1">
        <values>
          <value>
            <val>0</val>
          </value>
        </values>
      </ddeItem>
      <ddeItem name="ai[77].L.V" advise="1">
        <values>
          <value>
            <val>0</val>
          </value>
        </values>
      </ddeItem>
      <ddeItem name="ai[77].LL.EN" advise="1">
        <values>
          <value>
            <val>0</val>
          </value>
        </values>
      </ddeItem>
      <ddeItem name="ai[77].LL.fix" advise="1">
        <values>
          <value>
            <val>0</val>
          </value>
        </values>
      </ddeItem>
      <ddeItem name="ai[77].LL.V" advise="1">
        <values>
          <value>
            <val>0</val>
          </value>
        </values>
      </ddeItem>
      <ddeItem name="ai[77].RH.EN" advise="1">
        <values>
          <value>
            <val>0</val>
          </value>
        </values>
      </ddeItem>
      <ddeItem name="ai[77].RH.fix" advise="1">
        <values>
          <value>
            <val>0</val>
          </value>
        </values>
      </ddeItem>
      <ddeItem name="ai[77].RH.V" advise="1">
        <values>
          <value>
            <val>0</val>
          </value>
        </values>
      </ddeItem>
      <ddeItem name="ai[77].RL.EN" advise="1">
        <values>
          <value>
            <val>0</val>
          </value>
        </values>
      </ddeItem>
      <ddeItem name="ai[77].RL.fix" advise="1">
        <values>
          <value>
            <val>0</val>
          </value>
        </values>
      </ddeItem>
      <ddeItem name="ai[77].RL.V" advise="1">
        <values>
          <value>
            <val>0</val>
          </value>
        </values>
      </ddeItem>
      <ddeItem name="ai[77].state" advise="1">
        <values>
          <value>
            <val>4</val>
          </value>
        </values>
      </ddeItem>
      <ddeItem name="ai[77].v" advise="1">
        <values>
          <value>
            <val>0</val>
          </value>
        </values>
      </ddeItem>
      <ddeItem name="ai[77].vCorrect" advise="1"/>
      <ddeItem name="ai[77].vCut" advise="1"/>
      <ddeItem name="ai[77].vRaw" advise="1"/>
      <ddeItem name="ai[77].ZH" advise="1">
        <values>
          <value>
            <val>0</val>
          </value>
        </values>
      </ddeItem>
      <ddeItem name="ai[77].ZL" advise="1">
        <values>
          <value>
            <val>0</val>
          </value>
        </values>
      </ddeItem>
      <ddeItem name="ai[78].break.sgn" advise="1">
        <values>
          <value>
            <val>0</val>
          </value>
        </values>
      </ddeItem>
      <ddeItem name="ai[78].EN" advise="1">
        <values>
          <value>
            <val>0</val>
          </value>
        </values>
      </ddeItem>
      <ddeItem name="ai[78].group" advise="1">
        <values>
          <value>
            <val>0</val>
          </value>
        </values>
      </ddeItem>
      <ddeItem name="ai[78].H.EN" advise="1">
        <values>
          <value>
            <val>0</val>
          </value>
        </values>
      </ddeItem>
      <ddeItem name="ai[78].H.fix" advise="1">
        <values>
          <value>
            <val>0</val>
          </value>
        </values>
      </ddeItem>
      <ddeItem name="ai[78].H.V" advise="1">
        <values>
          <value>
            <val>0</val>
          </value>
        </values>
      </ddeItem>
      <ddeItem name="ai[78].HH.EN" advise="1">
        <values>
          <value>
            <val>0</val>
          </value>
        </values>
      </ddeItem>
      <ddeItem name="ai[78].HH.fix" advise="1">
        <values>
          <value>
            <val>0</val>
          </value>
        </values>
      </ddeItem>
      <ddeItem name="ai[78].HH.V" advise="1">
        <values>
          <value>
            <val>0</val>
          </value>
        </values>
      </ddeItem>
      <ddeItem name="ai[78].i" advise="1">
        <values>
          <value>
            <val>0</val>
          </value>
        </values>
      </ddeItem>
      <ddeItem name="ai[78].isCorrect" advise="1">
        <values>
          <value>
            <val>0</val>
          </value>
        </values>
      </ddeItem>
      <ddeItem name="ai[78].isCut" advise="1"/>
      <ddeItem name="ai[78].isForce" advise="1">
        <values>
          <value>
            <val>0</val>
          </value>
        </values>
      </ddeItem>
      <ddeItem name="ai[78].isInvScale" advise="1">
        <values>
          <value>
            <val>0</val>
          </value>
        </values>
      </ddeItem>
      <ddeItem name="ai[78].L.EN" advise="1">
        <values>
          <value>
            <val>0</val>
          </value>
        </values>
      </ddeItem>
      <ddeItem name="ai[78].L.fix" advise="1">
        <values>
          <value>
            <val>0</val>
          </value>
        </values>
      </ddeItem>
      <ddeItem name="ai[78].L.V" advise="1">
        <values>
          <value>
            <val>0</val>
          </value>
        </values>
      </ddeItem>
      <ddeItem name="ai[78].LL.EN" advise="1">
        <values>
          <value>
            <val>0</val>
          </value>
        </values>
      </ddeItem>
      <ddeItem name="ai[78].LL.fix" advise="1">
        <values>
          <value>
            <val>0</val>
          </value>
        </values>
      </ddeItem>
      <ddeItem name="ai[78].LL.V" advise="1">
        <values>
          <value>
            <val>0</val>
          </value>
        </values>
      </ddeItem>
      <ddeItem name="ai[78].RH.EN" advise="1">
        <values>
          <value>
            <val>0</val>
          </value>
        </values>
      </ddeItem>
      <ddeItem name="ai[78].RH.fix" advise="1">
        <values>
          <value>
            <val>0</val>
          </value>
        </values>
      </ddeItem>
      <ddeItem name="ai[78].RH.V" advise="1">
        <values>
          <value>
            <val>0</val>
          </value>
        </values>
      </ddeItem>
      <ddeItem name="ai[78].RL.EN" advise="1">
        <values>
          <value>
            <val>0</val>
          </value>
        </values>
      </ddeItem>
      <ddeItem name="ai[78].RL.fix" advise="1">
        <values>
          <value>
            <val>0</val>
          </value>
        </values>
      </ddeItem>
      <ddeItem name="ai[78].RL.V" advise="1">
        <values>
          <value>
            <val>0</val>
          </value>
        </values>
      </ddeItem>
      <ddeItem name="ai[78].state" advise="1">
        <values>
          <value>
            <val>4</val>
          </value>
        </values>
      </ddeItem>
      <ddeItem name="ai[78].v" advise="1">
        <values>
          <value>
            <val>0</val>
          </value>
        </values>
      </ddeItem>
      <ddeItem name="ai[78].vCorrect" advise="1"/>
      <ddeItem name="ai[78].vCut" advise="1"/>
      <ddeItem name="ai[78].vRaw" advise="1"/>
      <ddeItem name="ai[78].ZH" advise="1">
        <values>
          <value>
            <val>0</val>
          </value>
        </values>
      </ddeItem>
      <ddeItem name="ai[78].ZL" advise="1">
        <values>
          <value>
            <val>0</val>
          </value>
        </values>
      </ddeItem>
      <ddeItem name="ai[79].break.sgn" advise="1">
        <values>
          <value>
            <val>0</val>
          </value>
        </values>
      </ddeItem>
      <ddeItem name="ai[79].EN" advise="1">
        <values>
          <value>
            <val>0</val>
          </value>
        </values>
      </ddeItem>
      <ddeItem name="ai[79].group" advise="1">
        <values>
          <value>
            <val>0</val>
          </value>
        </values>
      </ddeItem>
      <ddeItem name="ai[79].H.EN" advise="1">
        <values>
          <value>
            <val>0</val>
          </value>
        </values>
      </ddeItem>
      <ddeItem name="ai[79].H.fix" advise="1">
        <values>
          <value>
            <val>0</val>
          </value>
        </values>
      </ddeItem>
      <ddeItem name="ai[79].H.V" advise="1">
        <values>
          <value>
            <val>0</val>
          </value>
        </values>
      </ddeItem>
      <ddeItem name="ai[79].HH.EN" advise="1">
        <values>
          <value>
            <val>0</val>
          </value>
        </values>
      </ddeItem>
      <ddeItem name="ai[79].HH.fix" advise="1">
        <values>
          <value>
            <val>0</val>
          </value>
        </values>
      </ddeItem>
      <ddeItem name="ai[79].HH.V" advise="1">
        <values>
          <value>
            <val>0</val>
          </value>
        </values>
      </ddeItem>
      <ddeItem name="ai[79].i" advise="1">
        <values>
          <value>
            <val>0</val>
          </value>
        </values>
      </ddeItem>
      <ddeItem name="ai[79].isCorrect" advise="1">
        <values>
          <value>
            <val>0</val>
          </value>
        </values>
      </ddeItem>
      <ddeItem name="ai[79].isCut" advise="1"/>
      <ddeItem name="ai[79].isForce" advise="1">
        <values>
          <value>
            <val>0</val>
          </value>
        </values>
      </ddeItem>
      <ddeItem name="ai[79].isInvScale" advise="1">
        <values>
          <value>
            <val>0</val>
          </value>
        </values>
      </ddeItem>
      <ddeItem name="ai[79].L.EN" advise="1">
        <values>
          <value>
            <val>0</val>
          </value>
        </values>
      </ddeItem>
      <ddeItem name="ai[79].L.fix" advise="1">
        <values>
          <value>
            <val>0</val>
          </value>
        </values>
      </ddeItem>
      <ddeItem name="ai[79].L.V" advise="1">
        <values>
          <value>
            <val>0</val>
          </value>
        </values>
      </ddeItem>
      <ddeItem name="ai[79].LL.EN" advise="1">
        <values>
          <value>
            <val>0</val>
          </value>
        </values>
      </ddeItem>
      <ddeItem name="ai[79].LL.fix" advise="1">
        <values>
          <value>
            <val>0</val>
          </value>
        </values>
      </ddeItem>
      <ddeItem name="ai[79].LL.V" advise="1">
        <values>
          <value>
            <val>0</val>
          </value>
        </values>
      </ddeItem>
      <ddeItem name="ai[79].RH.EN" advise="1">
        <values>
          <value>
            <val>0</val>
          </value>
        </values>
      </ddeItem>
      <ddeItem name="ai[79].RH.fix" advise="1">
        <values>
          <value>
            <val>0</val>
          </value>
        </values>
      </ddeItem>
      <ddeItem name="ai[79].RH.V" advise="1">
        <values>
          <value>
            <val>0</val>
          </value>
        </values>
      </ddeItem>
      <ddeItem name="ai[79].RL.EN" advise="1">
        <values>
          <value>
            <val>0</val>
          </value>
        </values>
      </ddeItem>
      <ddeItem name="ai[79].RL.fix" advise="1">
        <values>
          <value>
            <val>0</val>
          </value>
        </values>
      </ddeItem>
      <ddeItem name="ai[79].RL.V" advise="1">
        <values>
          <value>
            <val>0</val>
          </value>
        </values>
      </ddeItem>
      <ddeItem name="ai[79].state" advise="1">
        <values>
          <value>
            <val>4</val>
          </value>
        </values>
      </ddeItem>
      <ddeItem name="ai[79].v" advise="1">
        <values>
          <value>
            <val>0</val>
          </value>
        </values>
      </ddeItem>
      <ddeItem name="ai[79].vCorrect" advise="1"/>
      <ddeItem name="ai[79].vCut" advise="1"/>
      <ddeItem name="ai[79].vRaw" advise="1"/>
      <ddeItem name="ai[79].ZH" advise="1">
        <values>
          <value>
            <val>0</val>
          </value>
        </values>
      </ddeItem>
      <ddeItem name="ai[79].ZL" advise="1">
        <values>
          <value>
            <val>0</val>
          </value>
        </values>
      </ddeItem>
      <ddeItem name="AI[8].break.sgn" advise="1">
        <values>
          <value>
            <val>1</val>
          </value>
        </values>
      </ddeItem>
      <ddeItem name="AI[8].EN" advise="1">
        <values>
          <value>
            <val>1</val>
          </value>
        </values>
      </ddeItem>
      <ddeItem name="AI[8].group" advise="1">
        <values>
          <value>
            <val>1</val>
          </value>
        </values>
      </ddeItem>
      <ddeItem name="AI[8].H.EN" advise="1">
        <values>
          <value>
            <val>0</val>
          </value>
        </values>
      </ddeItem>
      <ddeItem name="AI[8].H.fix" advise="1">
        <values>
          <value>
            <val>0</val>
          </value>
        </values>
      </ddeItem>
      <ddeItem name="AI[8].H.V" advise="1">
        <values>
          <value>
            <val>0</val>
          </value>
        </values>
      </ddeItem>
      <ddeItem name="AI[8].HH.EN" advise="1">
        <values>
          <value>
            <val>0</val>
          </value>
        </values>
      </ddeItem>
      <ddeItem name="AI[8].HH.fix" advise="1">
        <values>
          <value>
            <val>0</val>
          </value>
        </values>
      </ddeItem>
      <ddeItem name="AI[8].HH.V" advise="1">
        <values>
          <value>
            <val>0</val>
          </value>
        </values>
      </ddeItem>
      <ddeItem name="AI[8].i" advise="1">
        <values>
          <value>
            <val>2.8266910000000001E-3</val>
          </value>
        </values>
      </ddeItem>
      <ddeItem name="AI[8].isCorrect" advise="1">
        <values>
          <value>
            <val>0</val>
          </value>
        </values>
      </ddeItem>
      <ddeItem name="AI[8].isCut" advise="1"/>
      <ddeItem name="AI[8].isForce" advise="1">
        <values>
          <value>
            <val>0</val>
          </value>
        </values>
      </ddeItem>
      <ddeItem name="AI[8].isInvScale" advise="1">
        <values>
          <value>
            <val>0</val>
          </value>
        </values>
      </ddeItem>
      <ddeItem name="AI[8].L.EN" advise="1">
        <values>
          <value>
            <val>0</val>
          </value>
        </values>
      </ddeItem>
      <ddeItem name="AI[8].L.fix" advise="1">
        <values>
          <value>
            <val>0</val>
          </value>
        </values>
      </ddeItem>
      <ddeItem name="AI[8].L.V" advise="1">
        <values>
          <value>
            <val>0</val>
          </value>
        </values>
      </ddeItem>
      <ddeItem name="AI[8].LL.EN" advise="1">
        <values>
          <value>
            <val>0</val>
          </value>
        </values>
      </ddeItem>
      <ddeItem name="AI[8].LL.fix" advise="1">
        <values>
          <value>
            <val>0</val>
          </value>
        </values>
      </ddeItem>
      <ddeItem name="AI[8].LL.V" advise="1">
        <values>
          <value>
            <val>0</val>
          </value>
        </values>
      </ddeItem>
      <ddeItem name="AI[8].RH.EN" advise="1">
        <values>
          <value>
            <val>1</val>
          </value>
        </values>
      </ddeItem>
      <ddeItem name="AI[8].RH.fix" advise="1">
        <values>
          <value>
            <val>0</val>
          </value>
        </values>
      </ddeItem>
      <ddeItem name="AI[8].RH.V" advise="1">
        <values>
          <value>
            <val>280</val>
          </value>
        </values>
      </ddeItem>
      <ddeItem name="AI[8].RL.EN" advise="1">
        <values>
          <value>
            <val>1</val>
          </value>
        </values>
      </ddeItem>
      <ddeItem name="AI[8].RL.fix" advise="1">
        <values>
          <value>
            <val>0</val>
          </value>
        </values>
      </ddeItem>
      <ddeItem name="AI[8].RL.V" advise="1">
        <values>
          <value>
            <val>130</val>
          </value>
        </values>
      </ddeItem>
      <ddeItem name="AI[8].state" advise="1">
        <values>
          <value>
            <val>4</val>
          </value>
        </values>
      </ddeItem>
      <ddeItem name="AI[8].v" advise="1">
        <values>
          <value>
            <val>0</val>
          </value>
        </values>
      </ddeItem>
      <ddeItem name="AI[8].vCorrect" advise="1"/>
      <ddeItem name="AI[8].vCut" advise="1"/>
      <ddeItem name="AI[8].vRaw" advise="1"/>
      <ddeItem name="AI[8].ZH" advise="1">
        <values>
          <value>
            <val>300</val>
          </value>
        </values>
      </ddeItem>
      <ddeItem name="AI[8].ZL" advise="1">
        <values>
          <value>
            <val>0</val>
          </value>
        </values>
      </ddeItem>
      <ddeItem name="ai[80].break.sgn" advise="1">
        <values>
          <value>
            <val>1</val>
          </value>
        </values>
      </ddeItem>
      <ddeItem name="ai[80].EN" advise="1">
        <values>
          <value>
            <val>1</val>
          </value>
        </values>
      </ddeItem>
      <ddeItem name="ai[80].group" advise="1">
        <values>
          <value>
            <val>2</val>
          </value>
        </values>
      </ddeItem>
      <ddeItem name="ai[80].H.EN" advise="1">
        <values>
          <value>
            <val>0</val>
          </value>
        </values>
      </ddeItem>
      <ddeItem name="ai[80].H.fix" advise="1">
        <values>
          <value>
            <val>0</val>
          </value>
        </values>
      </ddeItem>
      <ddeItem name="ai[80].H.V" advise="1">
        <values>
          <value>
            <val>0</val>
          </value>
        </values>
      </ddeItem>
      <ddeItem name="ai[80].HH.EN" advise="1">
        <values>
          <value>
            <val>0</val>
          </value>
        </values>
      </ddeItem>
      <ddeItem name="ai[80].HH.fix" advise="1">
        <values>
          <value>
            <val>0</val>
          </value>
        </values>
      </ddeItem>
      <ddeItem name="ai[80].HH.V" advise="1">
        <values>
          <value>
            <val>0</val>
          </value>
        </values>
      </ddeItem>
      <ddeItem name="ai[80].i" advise="1">
        <values>
          <value>
            <val>3.1404499999999999E-3</val>
          </value>
        </values>
      </ddeItem>
      <ddeItem name="ai[80].isCorrect" advise="1">
        <values>
          <value>
            <val>0</val>
          </value>
        </values>
      </ddeItem>
      <ddeItem name="ai[80].isCut" advise="1"/>
      <ddeItem name="ai[80].isForce" advise="1">
        <values>
          <value>
            <val>0</val>
          </value>
        </values>
      </ddeItem>
      <ddeItem name="ai[80].isInvScale" advise="1">
        <values>
          <value>
            <val>0</val>
          </value>
        </values>
      </ddeItem>
      <ddeItem name="ai[80].L.EN" advise="1">
        <values>
          <value>
            <val>0</val>
          </value>
        </values>
      </ddeItem>
      <ddeItem name="ai[80].L.fix" advise="1">
        <values>
          <value>
            <val>0</val>
          </value>
        </values>
      </ddeItem>
      <ddeItem name="ai[80].L.V" advise="1">
        <values>
          <value>
            <val>0</val>
          </value>
        </values>
      </ddeItem>
      <ddeItem name="ai[80].LL.EN" advise="1">
        <values>
          <value>
            <val>0</val>
          </value>
        </values>
      </ddeItem>
      <ddeItem name="ai[80].LL.fix" advise="1">
        <values>
          <value>
            <val>0</val>
          </value>
        </values>
      </ddeItem>
      <ddeItem name="ai[80].LL.V" advise="1">
        <values>
          <value>
            <val>0</val>
          </value>
        </values>
      </ddeItem>
      <ddeItem name="ai[80].RH.EN" advise="1">
        <values>
          <value>
            <val>1</val>
          </value>
        </values>
      </ddeItem>
      <ddeItem name="ai[80].RH.fix" advise="1">
        <values>
          <value>
            <val>0</val>
          </value>
        </values>
      </ddeItem>
      <ddeItem name="ai[80].RH.V" advise="1">
        <values>
          <value>
            <val>280</val>
          </value>
        </values>
      </ddeItem>
      <ddeItem name="ai[80].RL.EN" advise="1">
        <values>
          <value>
            <val>1</val>
          </value>
        </values>
      </ddeItem>
      <ddeItem name="ai[80].RL.fix" advise="1">
        <values>
          <value>
            <val>0</val>
          </value>
        </values>
      </ddeItem>
      <ddeItem name="ai[80].RL.V" advise="1">
        <values>
          <value>
            <val>130</val>
          </value>
        </values>
      </ddeItem>
      <ddeItem name="ai[80].state" advise="1">
        <values>
          <value>
            <val>4</val>
          </value>
        </values>
      </ddeItem>
      <ddeItem name="ai[80].v" advise="1">
        <values>
          <value>
            <val>0</val>
          </value>
        </values>
      </ddeItem>
      <ddeItem name="ai[80].vCorrect" advise="1"/>
      <ddeItem name="ai[80].vCut" advise="1"/>
      <ddeItem name="ai[80].vRaw" advise="1"/>
      <ddeItem name="ai[80].ZH" advise="1">
        <values>
          <value>
            <val>300</val>
          </value>
        </values>
      </ddeItem>
      <ddeItem name="ai[80].ZL" advise="1">
        <values>
          <value>
            <val>0</val>
          </value>
        </values>
      </ddeItem>
      <ddeItem name="ai[81].break.sgn" advise="1">
        <values>
          <value>
            <val>1</val>
          </value>
        </values>
      </ddeItem>
      <ddeItem name="ai[81].EN" advise="1">
        <values>
          <value>
            <val>1</val>
          </value>
        </values>
      </ddeItem>
      <ddeItem name="ai[81].group" advise="1">
        <values>
          <value>
            <val>2</val>
          </value>
        </values>
      </ddeItem>
      <ddeItem name="ai[81].H.EN" advise="1">
        <values>
          <value>
            <val>0</val>
          </value>
        </values>
      </ddeItem>
      <ddeItem name="ai[81].H.fix" advise="1">
        <values>
          <value>
            <val>0</val>
          </value>
        </values>
      </ddeItem>
      <ddeItem name="ai[81].H.V" advise="1">
        <values>
          <value>
            <val>0</val>
          </value>
        </values>
      </ddeItem>
      <ddeItem name="ai[81].HH.EN" advise="1">
        <values>
          <value>
            <val>0</val>
          </value>
        </values>
      </ddeItem>
      <ddeItem name="ai[81].HH.fix" advise="1">
        <values>
          <value>
            <val>0</val>
          </value>
        </values>
      </ddeItem>
      <ddeItem name="ai[81].HH.V" advise="1">
        <values>
          <value>
            <val>0</val>
          </value>
        </values>
      </ddeItem>
      <ddeItem name="ai[81].i" advise="1">
        <values>
          <value>
            <val>3.1404499999999999E-3</val>
          </value>
        </values>
      </ddeItem>
      <ddeItem name="ai[81].isCorrect" advise="1">
        <values>
          <value>
            <val>0</val>
          </value>
        </values>
      </ddeItem>
      <ddeItem name="ai[81].isCut" advise="1"/>
      <ddeItem name="ai[81].isForce" advise="1">
        <values>
          <value>
            <val>0</val>
          </value>
        </values>
      </ddeItem>
      <ddeItem name="ai[81].isInvScale" advise="1">
        <values>
          <value>
            <val>0</val>
          </value>
        </values>
      </ddeItem>
      <ddeItem name="ai[81].L.EN" advise="1">
        <values>
          <value>
            <val>0</val>
          </value>
        </values>
      </ddeItem>
      <ddeItem name="ai[81].L.fix" advise="1">
        <values>
          <value>
            <val>0</val>
          </value>
        </values>
      </ddeItem>
      <ddeItem name="ai[81].L.V" advise="1">
        <values>
          <value>
            <val>0</val>
          </value>
        </values>
      </ddeItem>
      <ddeItem name="ai[81].LL.EN" advise="1">
        <values>
          <value>
            <val>0</val>
          </value>
        </values>
      </ddeItem>
      <ddeItem name="ai[81].LL.fix" advise="1">
        <values>
          <value>
            <val>0</val>
          </value>
        </values>
      </ddeItem>
      <ddeItem name="ai[81].LL.V" advise="1">
        <values>
          <value>
            <val>0</val>
          </value>
        </values>
      </ddeItem>
      <ddeItem name="ai[81].RH.EN" advise="1">
        <values>
          <value>
            <val>1</val>
          </value>
        </values>
      </ddeItem>
      <ddeItem name="ai[81].RH.fix" advise="1">
        <values>
          <value>
            <val>0</val>
          </value>
        </values>
      </ddeItem>
      <ddeItem name="ai[81].RH.V" advise="1">
        <values>
          <value>
            <val>270</val>
          </value>
        </values>
      </ddeItem>
      <ddeItem name="ai[81].RL.EN" advise="1">
        <values>
          <value>
            <val>1</val>
          </value>
        </values>
      </ddeItem>
      <ddeItem name="ai[81].RL.fix" advise="1">
        <values>
          <value>
            <val>0</val>
          </value>
        </values>
      </ddeItem>
      <ddeItem name="ai[81].RL.V" advise="1">
        <values>
          <value>
            <val>130</val>
          </value>
        </values>
      </ddeItem>
      <ddeItem name="ai[81].state" advise="1">
        <values>
          <value>
            <val>4</val>
          </value>
        </values>
      </ddeItem>
      <ddeItem name="ai[81].v" advise="1">
        <values>
          <value>
            <val>0</val>
          </value>
        </values>
      </ddeItem>
      <ddeItem name="ai[81].vCorrect" advise="1"/>
      <ddeItem name="ai[81].vCut" advise="1"/>
      <ddeItem name="ai[81].vRaw" advise="1"/>
      <ddeItem name="ai[81].ZH" advise="1">
        <values>
          <value>
            <val>300</val>
          </value>
        </values>
      </ddeItem>
      <ddeItem name="ai[81].ZL" advise="1">
        <values>
          <value>
            <val>0</val>
          </value>
        </values>
      </ddeItem>
      <ddeItem name="ai[82].break.sgn" advise="1">
        <values>
          <value>
            <val>1</val>
          </value>
        </values>
      </ddeItem>
      <ddeItem name="ai[82].EN" advise="1">
        <values>
          <value>
            <val>1</val>
          </value>
        </values>
      </ddeItem>
      <ddeItem name="ai[82].group" advise="1">
        <values>
          <value>
            <val>2</val>
          </value>
        </values>
      </ddeItem>
      <ddeItem name="ai[82].H.EN" advise="1">
        <values>
          <value>
            <val>0</val>
          </value>
        </values>
      </ddeItem>
      <ddeItem name="ai[82].H.fix" advise="1">
        <values>
          <value>
            <val>0</val>
          </value>
        </values>
      </ddeItem>
      <ddeItem name="ai[82].H.V" advise="1">
        <values>
          <value>
            <val>0</val>
          </value>
        </values>
      </ddeItem>
      <ddeItem name="ai[82].HH.EN" advise="1">
        <values>
          <value>
            <val>0</val>
          </value>
        </values>
      </ddeItem>
      <ddeItem name="ai[82].HH.fix" advise="1">
        <values>
          <value>
            <val>0</val>
          </value>
        </values>
      </ddeItem>
      <ddeItem name="ai[82].HH.V" advise="1">
        <values>
          <value>
            <val>0</val>
          </value>
        </values>
      </ddeItem>
      <ddeItem name="ai[82].i" advise="1">
        <values>
          <value>
            <val>3.4551619999999999E-3</val>
          </value>
        </values>
      </ddeItem>
      <ddeItem name="ai[82].isCorrect" advise="1">
        <values>
          <value>
            <val>0</val>
          </value>
        </values>
      </ddeItem>
      <ddeItem name="ai[82].isCut" advise="1"/>
      <ddeItem name="ai[82].isForce" advise="1">
        <values>
          <value>
            <val>0</val>
          </value>
        </values>
      </ddeItem>
      <ddeItem name="ai[82].isInvScale" advise="1">
        <values>
          <value>
            <val>0</val>
          </value>
        </values>
      </ddeItem>
      <ddeItem name="ai[82].L.EN" advise="1">
        <values>
          <value>
            <val>0</val>
          </value>
        </values>
      </ddeItem>
      <ddeItem name="ai[82].L.fix" advise="1">
        <values>
          <value>
            <val>0</val>
          </value>
        </values>
      </ddeItem>
      <ddeItem name="ai[82].L.V" advise="1">
        <values>
          <value>
            <val>0</val>
          </value>
        </values>
      </ddeItem>
      <ddeItem name="ai[82].LL.EN" advise="1">
        <values>
          <value>
            <val>0</val>
          </value>
        </values>
      </ddeItem>
      <ddeItem name="ai[82].LL.fix" advise="1">
        <values>
          <value>
            <val>0</val>
          </value>
        </values>
      </ddeItem>
      <ddeItem name="ai[82].LL.V" advise="1">
        <values>
          <value>
            <val>0</val>
          </value>
        </values>
      </ddeItem>
      <ddeItem name="ai[82].RH.EN" advise="1">
        <values>
          <value>
            <val>1</val>
          </value>
        </values>
      </ddeItem>
      <ddeItem name="ai[82].RH.fix" advise="1">
        <values>
          <value>
            <val>0</val>
          </value>
        </values>
      </ddeItem>
      <ddeItem name="ai[82].RH.V" advise="1">
        <values>
          <value>
            <val>270</val>
          </value>
        </values>
      </ddeItem>
      <ddeItem name="ai[82].RL.EN" advise="1">
        <values>
          <value>
            <val>1</val>
          </value>
        </values>
      </ddeItem>
      <ddeItem name="ai[82].RL.fix" advise="1">
        <values>
          <value>
            <val>0</val>
          </value>
        </values>
      </ddeItem>
      <ddeItem name="ai[82].RL.V" advise="1">
        <values>
          <value>
            <val>130</val>
          </value>
        </values>
      </ddeItem>
      <ddeItem name="ai[82].state" advise="1">
        <values>
          <value>
            <val>4</val>
          </value>
        </values>
      </ddeItem>
      <ddeItem name="ai[82].v" advise="1">
        <values>
          <value>
            <val>0</val>
          </value>
        </values>
      </ddeItem>
      <ddeItem name="ai[82].vCorrect" advise="1"/>
      <ddeItem name="ai[82].vCut" advise="1"/>
      <ddeItem name="ai[82].vRaw" advise="1"/>
      <ddeItem name="ai[82].ZH" advise="1">
        <values>
          <value>
            <val>300</val>
          </value>
        </values>
      </ddeItem>
      <ddeItem name="ai[82].ZL" advise="1">
        <values>
          <value>
            <val>0</val>
          </value>
        </values>
      </ddeItem>
      <ddeItem name="ai[83].break.sgn" advise="1">
        <values>
          <value>
            <val>1</val>
          </value>
        </values>
      </ddeItem>
      <ddeItem name="ai[83].EN" advise="1">
        <values>
          <value>
            <val>1</val>
          </value>
        </values>
      </ddeItem>
      <ddeItem name="ai[83].group" advise="1">
        <values>
          <value>
            <val>2</val>
          </value>
        </values>
      </ddeItem>
      <ddeItem name="ai[83].H.EN" advise="1">
        <values>
          <value>
            <val>0</val>
          </value>
        </values>
      </ddeItem>
      <ddeItem name="ai[83].H.fix" advise="1">
        <values>
          <value>
            <val>0</val>
          </value>
        </values>
      </ddeItem>
      <ddeItem name="ai[83].H.V" advise="1">
        <values>
          <value>
            <val>0</val>
          </value>
        </values>
      </ddeItem>
      <ddeItem name="ai[83].HH.EN" advise="1">
        <values>
          <value>
            <val>0</val>
          </value>
        </values>
      </ddeItem>
      <ddeItem name="ai[83].HH.fix" advise="1">
        <values>
          <value>
            <val>0</val>
          </value>
        </values>
      </ddeItem>
      <ddeItem name="ai[83].HH.V" advise="1">
        <values>
          <value>
            <val>0</val>
          </value>
        </values>
      </ddeItem>
      <ddeItem name="ai[83].i" advise="1">
        <values>
          <value>
            <val>3.4551619999999999E-3</val>
          </value>
        </values>
      </ddeItem>
      <ddeItem name="ai[83].isCorrect" advise="1">
        <values>
          <value>
            <val>0</val>
          </value>
        </values>
      </ddeItem>
      <ddeItem name="ai[83].isCut" advise="1"/>
      <ddeItem name="ai[83].isForce" advise="1">
        <values>
          <value>
            <val>0</val>
          </value>
        </values>
      </ddeItem>
      <ddeItem name="ai[83].isInvScale" advise="1">
        <values>
          <value>
            <val>0</val>
          </value>
        </values>
      </ddeItem>
      <ddeItem name="ai[83].L.EN" advise="1">
        <values>
          <value>
            <val>0</val>
          </value>
        </values>
      </ddeItem>
      <ddeItem name="ai[83].L.fix" advise="1">
        <values>
          <value>
            <val>0</val>
          </value>
        </values>
      </ddeItem>
      <ddeItem name="ai[83].L.V" advise="1">
        <values>
          <value>
            <val>0</val>
          </value>
        </values>
      </ddeItem>
      <ddeItem name="ai[83].LL.EN" advise="1">
        <values>
          <value>
            <val>0</val>
          </value>
        </values>
      </ddeItem>
      <ddeItem name="ai[83].LL.fix" advise="1">
        <values>
          <value>
            <val>0</val>
          </value>
        </values>
      </ddeItem>
      <ddeItem name="ai[83].LL.V" advise="1">
        <values>
          <value>
            <val>0</val>
          </value>
        </values>
      </ddeItem>
      <ddeItem name="ai[83].RH.EN" advise="1">
        <values>
          <value>
            <val>1</val>
          </value>
        </values>
      </ddeItem>
      <ddeItem name="ai[83].RH.fix" advise="1">
        <values>
          <value>
            <val>0</val>
          </value>
        </values>
      </ddeItem>
      <ddeItem name="ai[83].RH.V" advise="1">
        <values>
          <value>
            <val>160</val>
          </value>
        </values>
      </ddeItem>
      <ddeItem name="ai[83].RL.EN" advise="1">
        <values>
          <value>
            <val>1</val>
          </value>
        </values>
      </ddeItem>
      <ddeItem name="ai[83].RL.fix" advise="1">
        <values>
          <value>
            <val>0</val>
          </value>
        </values>
      </ddeItem>
      <ddeItem name="ai[83].RL.V" advise="1">
        <values>
          <value>
            <val>40</val>
          </value>
        </values>
      </ddeItem>
      <ddeItem name="ai[83].state" advise="1">
        <values>
          <value>
            <val>4</val>
          </value>
        </values>
      </ddeItem>
      <ddeItem name="ai[83].v" advise="1">
        <values>
          <value>
            <val>0</val>
          </value>
        </values>
      </ddeItem>
      <ddeItem name="ai[83].vCorrect" advise="1"/>
      <ddeItem name="ai[83].vCut" advise="1"/>
      <ddeItem name="ai[83].vRaw" advise="1"/>
      <ddeItem name="ai[83].ZH" advise="1">
        <values>
          <value>
            <val>300</val>
          </value>
        </values>
      </ddeItem>
      <ddeItem name="ai[83].ZL" advise="1">
        <values>
          <value>
            <val>0</val>
          </value>
        </values>
      </ddeItem>
      <ddeItem name="ai[84].break.sgn" advise="1">
        <values>
          <value>
            <val>1</val>
          </value>
        </values>
      </ddeItem>
      <ddeItem name="ai[84].EN" advise="1">
        <values>
          <value>
            <val>1</val>
          </value>
        </values>
      </ddeItem>
      <ddeItem name="ai[84].group" advise="1">
        <values>
          <value>
            <val>2</val>
          </value>
        </values>
      </ddeItem>
      <ddeItem name="ai[84].H.EN" advise="1">
        <values>
          <value>
            <val>0</val>
          </value>
        </values>
      </ddeItem>
      <ddeItem name="ai[84].H.fix" advise="1">
        <values>
          <value>
            <val>0</val>
          </value>
        </values>
      </ddeItem>
      <ddeItem name="ai[84].H.V" advise="1">
        <values>
          <value>
            <val>0</val>
          </value>
        </values>
      </ddeItem>
      <ddeItem name="ai[84].HH.EN" advise="1">
        <values>
          <value>
            <val>0</val>
          </value>
        </values>
      </ddeItem>
      <ddeItem name="ai[84].HH.fix" advise="1">
        <values>
          <value>
            <val>0</val>
          </value>
        </values>
      </ddeItem>
      <ddeItem name="ai[84].HH.V" advise="1">
        <values>
          <value>
            <val>0</val>
          </value>
        </values>
      </ddeItem>
      <ddeItem name="ai[84].i" advise="1">
        <values>
          <value>
            <val>1.2559890000000001E-3</val>
          </value>
        </values>
      </ddeItem>
      <ddeItem name="ai[84].isCorrect" advise="1">
        <values>
          <value>
            <val>0</val>
          </value>
        </values>
      </ddeItem>
      <ddeItem name="ai[84].isCut" advise="1"/>
      <ddeItem name="ai[84].isForce" advise="1">
        <values>
          <value>
            <val>0</val>
          </value>
        </values>
      </ddeItem>
      <ddeItem name="ai[84].isInvScale" advise="1">
        <values>
          <value>
            <val>0</val>
          </value>
        </values>
      </ddeItem>
      <ddeItem name="ai[84].L.EN" advise="1">
        <values>
          <value>
            <val>0</val>
          </value>
        </values>
      </ddeItem>
      <ddeItem name="ai[84].L.fix" advise="1">
        <values>
          <value>
            <val>0</val>
          </value>
        </values>
      </ddeItem>
      <ddeItem name="ai[84].L.V" advise="1">
        <values>
          <value>
            <val>0</val>
          </value>
        </values>
      </ddeItem>
      <ddeItem name="ai[84].LL.EN" advise="1">
        <values>
          <value>
            <val>0</val>
          </value>
        </values>
      </ddeItem>
      <ddeItem name="ai[84].LL.fix" advise="1">
        <values>
          <value>
            <val>0</val>
          </value>
        </values>
      </ddeItem>
      <ddeItem name="ai[84].LL.V" advise="1">
        <values>
          <value>
            <val>0</val>
          </value>
        </values>
      </ddeItem>
      <ddeItem name="ai[84].RH.EN" advise="1">
        <values>
          <value>
            <val>1</val>
          </value>
        </values>
      </ddeItem>
      <ddeItem name="ai[84].RH.fix" advise="1">
        <values>
          <value>
            <val>0</val>
          </value>
        </values>
      </ddeItem>
      <ddeItem name="ai[84].RH.V" advise="1">
        <values>
          <value>
            <val>160</val>
          </value>
        </values>
      </ddeItem>
      <ddeItem name="ai[84].RL.EN" advise="1">
        <values>
          <value>
            <val>1</val>
          </value>
        </values>
      </ddeItem>
      <ddeItem name="ai[84].RL.fix" advise="1">
        <values>
          <value>
            <val>0</val>
          </value>
        </values>
      </ddeItem>
      <ddeItem name="ai[84].RL.V" advise="1">
        <values>
          <value>
            <val>40</val>
          </value>
        </values>
      </ddeItem>
      <ddeItem name="ai[84].state" advise="1">
        <values>
          <value>
            <val>4</val>
          </value>
        </values>
      </ddeItem>
      <ddeItem name="ai[84].v" advise="1">
        <values>
          <value>
            <val>0</val>
          </value>
        </values>
      </ddeItem>
      <ddeItem name="ai[84].vCorrect" advise="1"/>
      <ddeItem name="ai[84].vCut" advise="1"/>
      <ddeItem name="ai[84].vRaw" advise="1"/>
      <ddeItem name="ai[84].ZH" advise="1">
        <values>
          <value>
            <val>300</val>
          </value>
        </values>
      </ddeItem>
      <ddeItem name="ai[84].ZL" advise="1">
        <values>
          <value>
            <val>0</val>
          </value>
        </values>
      </ddeItem>
      <ddeItem name="ai[85].break.sgn" advise="1">
        <values>
          <value>
            <val>1</val>
          </value>
        </values>
      </ddeItem>
      <ddeItem name="ai[85].EN" advise="1">
        <values>
          <value>
            <val>1</val>
          </value>
        </values>
      </ddeItem>
      <ddeItem name="ai[85].group" advise="1">
        <values>
          <value>
            <val>2</val>
          </value>
        </values>
      </ddeItem>
      <ddeItem name="ai[85].H.EN" advise="1">
        <values>
          <value>
            <val>0</val>
          </value>
        </values>
      </ddeItem>
      <ddeItem name="ai[85].H.fix" advise="1">
        <values>
          <value>
            <val>0</val>
          </value>
        </values>
      </ddeItem>
      <ddeItem name="ai[85].H.V" advise="1">
        <values>
          <value>
            <val>0</val>
          </value>
        </values>
      </ddeItem>
      <ddeItem name="ai[85].HH.EN" advise="1">
        <values>
          <value>
            <val>0</val>
          </value>
        </values>
      </ddeItem>
      <ddeItem name="ai[85].HH.fix" advise="1">
        <values>
          <value>
            <val>0</val>
          </value>
        </values>
      </ddeItem>
      <ddeItem name="ai[85].HH.V" advise="1">
        <values>
          <value>
            <val>0</val>
          </value>
        </values>
      </ddeItem>
      <ddeItem name="ai[85].i" advise="1">
        <values>
          <value>
            <val>1.2559890000000001E-3</val>
          </value>
        </values>
      </ddeItem>
      <ddeItem name="ai[85].isCorrect" advise="1">
        <values>
          <value>
            <val>0</val>
          </value>
        </values>
      </ddeItem>
      <ddeItem name="ai[85].isCut" advise="1"/>
      <ddeItem name="ai[85].isForce" advise="1">
        <values>
          <value>
            <val>0</val>
          </value>
        </values>
      </ddeItem>
      <ddeItem name="ai[85].isInvScale" advise="1">
        <values>
          <value>
            <val>0</val>
          </value>
        </values>
      </ddeItem>
      <ddeItem name="ai[85].L.EN" advise="1">
        <values>
          <value>
            <val>0</val>
          </value>
        </values>
      </ddeItem>
      <ddeItem name="ai[85].L.fix" advise="1">
        <values>
          <value>
            <val>0</val>
          </value>
        </values>
      </ddeItem>
      <ddeItem name="ai[85].L.V" advise="1">
        <values>
          <value>
            <val>0</val>
          </value>
        </values>
      </ddeItem>
      <ddeItem name="ai[85].LL.EN" advise="1">
        <values>
          <value>
            <val>0</val>
          </value>
        </values>
      </ddeItem>
      <ddeItem name="ai[85].LL.fix" advise="1">
        <values>
          <value>
            <val>0</val>
          </value>
        </values>
      </ddeItem>
      <ddeItem name="ai[85].LL.V" advise="1">
        <values>
          <value>
            <val>0</val>
          </value>
        </values>
      </ddeItem>
      <ddeItem name="ai[85].RH.EN" advise="1">
        <values>
          <value>
            <val>1</val>
          </value>
        </values>
      </ddeItem>
      <ddeItem name="ai[85].RH.fix" advise="1">
        <values>
          <value>
            <val>0</val>
          </value>
        </values>
      </ddeItem>
      <ddeItem name="ai[85].RH.V" advise="1">
        <values>
          <value>
            <val>160</val>
          </value>
        </values>
      </ddeItem>
      <ddeItem name="ai[85].RL.EN" advise="1">
        <values>
          <value>
            <val>1</val>
          </value>
        </values>
      </ddeItem>
      <ddeItem name="ai[85].RL.fix" advise="1">
        <values>
          <value>
            <val>0</val>
          </value>
        </values>
      </ddeItem>
      <ddeItem name="ai[85].RL.V" advise="1">
        <values>
          <value>
            <val>40</val>
          </value>
        </values>
      </ddeItem>
      <ddeItem name="ai[85].state" advise="1">
        <values>
          <value>
            <val>4</val>
          </value>
        </values>
      </ddeItem>
      <ddeItem name="ai[85].v" advise="1">
        <values>
          <value>
            <val>0</val>
          </value>
        </values>
      </ddeItem>
      <ddeItem name="ai[85].vCorrect" advise="1"/>
      <ddeItem name="ai[85].vCut" advise="1"/>
      <ddeItem name="ai[85].vRaw" advise="1"/>
      <ddeItem name="ai[85].ZH" advise="1">
        <values>
          <value>
            <val>300</val>
          </value>
        </values>
      </ddeItem>
      <ddeItem name="ai[85].ZL" advise="1">
        <values>
          <value>
            <val>0</val>
          </value>
        </values>
      </ddeItem>
      <ddeItem name="ai[86].break.sgn" advise="1">
        <values>
          <value>
            <val>1</val>
          </value>
        </values>
      </ddeItem>
      <ddeItem name="ai[86].EN" advise="1">
        <values>
          <value>
            <val>1</val>
          </value>
        </values>
      </ddeItem>
      <ddeItem name="ai[86].group" advise="1">
        <values>
          <value>
            <val>2</val>
          </value>
        </values>
      </ddeItem>
      <ddeItem name="ai[86].H.EN" advise="1">
        <values>
          <value>
            <val>0</val>
          </value>
        </values>
      </ddeItem>
      <ddeItem name="ai[86].H.fix" advise="1">
        <values>
          <value>
            <val>0</val>
          </value>
        </values>
      </ddeItem>
      <ddeItem name="ai[86].H.V" advise="1">
        <values>
          <value>
            <val>0</val>
          </value>
        </values>
      </ddeItem>
      <ddeItem name="ai[86].HH.EN" advise="1">
        <values>
          <value>
            <val>0</val>
          </value>
        </values>
      </ddeItem>
      <ddeItem name="ai[86].HH.fix" advise="1">
        <values>
          <value>
            <val>0</val>
          </value>
        </values>
      </ddeItem>
      <ddeItem name="ai[86].HH.V" advise="1">
        <values>
          <value>
            <val>0</val>
          </value>
        </values>
      </ddeItem>
      <ddeItem name="ai[86].i" advise="1">
        <values>
          <value>
            <val>1.570702E-3</val>
          </value>
        </values>
      </ddeItem>
      <ddeItem name="ai[86].isCorrect" advise="1">
        <values>
          <value>
            <val>0</val>
          </value>
        </values>
      </ddeItem>
      <ddeItem name="ai[86].isCut" advise="1"/>
      <ddeItem name="ai[86].isForce" advise="1">
        <values>
          <value>
            <val>0</val>
          </value>
        </values>
      </ddeItem>
      <ddeItem name="ai[86].isInvScale" advise="1">
        <values>
          <value>
            <val>0</val>
          </value>
        </values>
      </ddeItem>
      <ddeItem name="ai[86].L.EN" advise="1">
        <values>
          <value>
            <val>0</val>
          </value>
        </values>
      </ddeItem>
      <ddeItem name="ai[86].L.fix" advise="1">
        <values>
          <value>
            <val>0</val>
          </value>
        </values>
      </ddeItem>
      <ddeItem name="ai[86].L.V" advise="1">
        <values>
          <value>
            <val>0</val>
          </value>
        </values>
      </ddeItem>
      <ddeItem name="ai[86].LL.EN" advise="1">
        <values>
          <value>
            <val>0</val>
          </value>
        </values>
      </ddeItem>
      <ddeItem name="ai[86].LL.fix" advise="1">
        <values>
          <value>
            <val>0</val>
          </value>
        </values>
      </ddeItem>
      <ddeItem name="ai[86].LL.V" advise="1">
        <values>
          <value>
            <val>0</val>
          </value>
        </values>
      </ddeItem>
      <ddeItem name="ai[86].RH.EN" advise="1">
        <values>
          <value>
            <val>1</val>
          </value>
        </values>
      </ddeItem>
      <ddeItem name="ai[86].RH.fix" advise="1">
        <values>
          <value>
            <val>0</val>
          </value>
        </values>
      </ddeItem>
      <ddeItem name="ai[86].RH.V" advise="1">
        <values>
          <value>
            <val>250</val>
          </value>
        </values>
      </ddeItem>
      <ddeItem name="ai[86].RL.EN" advise="1">
        <values>
          <value>
            <val>1</val>
          </value>
        </values>
      </ddeItem>
      <ddeItem name="ai[86].RL.fix" advise="1">
        <values>
          <value>
            <val>0</val>
          </value>
        </values>
      </ddeItem>
      <ddeItem name="ai[86].RL.V" advise="1">
        <values>
          <value>
            <val>130</val>
          </value>
        </values>
      </ddeItem>
      <ddeItem name="ai[86].state" advise="1">
        <values>
          <value>
            <val>4</val>
          </value>
        </values>
      </ddeItem>
      <ddeItem name="ai[86].v" advise="1">
        <values>
          <value>
            <val>0</val>
          </value>
        </values>
      </ddeItem>
      <ddeItem name="ai[86].vCorrect" advise="1"/>
      <ddeItem name="ai[86].vCut" advise="1"/>
      <ddeItem name="ai[86].vRaw" advise="1"/>
      <ddeItem name="ai[86].ZH" advise="1">
        <values>
          <value>
            <val>300</val>
          </value>
        </values>
      </ddeItem>
      <ddeItem name="ai[86].ZL" advise="1">
        <values>
          <value>
            <val>0</val>
          </value>
        </values>
      </ddeItem>
      <ddeItem name="ai[87].break.sgn" advise="1">
        <values>
          <value>
            <val>1</val>
          </value>
        </values>
      </ddeItem>
      <ddeItem name="ai[87].EN" advise="1">
        <values>
          <value>
            <val>1</val>
          </value>
        </values>
      </ddeItem>
      <ddeItem name="ai[87].group" advise="1">
        <values>
          <value>
            <val>2</val>
          </value>
        </values>
      </ddeItem>
      <ddeItem name="ai[87].H.EN" advise="1">
        <values>
          <value>
            <val>0</val>
          </value>
        </values>
      </ddeItem>
      <ddeItem name="ai[87].H.fix" advise="1">
        <values>
          <value>
            <val>0</val>
          </value>
        </values>
      </ddeItem>
      <ddeItem name="ai[87].H.V" advise="1">
        <values>
          <value>
            <val>0</val>
          </value>
        </values>
      </ddeItem>
      <ddeItem name="ai[87].HH.EN" advise="1">
        <values>
          <value>
            <val>0</val>
          </value>
        </values>
      </ddeItem>
      <ddeItem name="ai[87].HH.fix" advise="1">
        <values>
          <value>
            <val>0</val>
          </value>
        </values>
      </ddeItem>
      <ddeItem name="ai[87].HH.V" advise="1">
        <values>
          <value>
            <val>0</val>
          </value>
        </values>
      </ddeItem>
      <ddeItem name="ai[87].i" advise="1">
        <values>
          <value>
            <val>2.198219E-3</val>
          </value>
        </values>
      </ddeItem>
      <ddeItem name="ai[87].isCorrect" advise="1">
        <values>
          <value>
            <val>0</val>
          </value>
        </values>
      </ddeItem>
      <ddeItem name="ai[87].isCut" advise="1"/>
      <ddeItem name="ai[87].isForce" advise="1">
        <values>
          <value>
            <val>0</val>
          </value>
        </values>
      </ddeItem>
      <ddeItem name="ai[87].isInvScale" advise="1">
        <values>
          <value>
            <val>0</val>
          </value>
        </values>
      </ddeItem>
      <ddeItem name="ai[87].L.EN" advise="1">
        <values>
          <value>
            <val>0</val>
          </value>
        </values>
      </ddeItem>
      <ddeItem name="ai[87].L.fix" advise="1">
        <values>
          <value>
            <val>0</val>
          </value>
        </values>
      </ddeItem>
      <ddeItem name="ai[87].L.V" advise="1">
        <values>
          <value>
            <val>0</val>
          </value>
        </values>
      </ddeItem>
      <ddeItem name="ai[87].LL.EN" advise="1">
        <values>
          <value>
            <val>0</val>
          </value>
        </values>
      </ddeItem>
      <ddeItem name="ai[87].LL.fix" advise="1">
        <values>
          <value>
            <val>0</val>
          </value>
        </values>
      </ddeItem>
      <ddeItem name="ai[87].LL.V" advise="1">
        <values>
          <value>
            <val>0</val>
          </value>
        </values>
      </ddeItem>
      <ddeItem name="ai[87].RH.EN" advise="1">
        <values>
          <value>
            <val>1</val>
          </value>
        </values>
      </ddeItem>
      <ddeItem name="ai[87].RH.fix" advise="1">
        <values>
          <value>
            <val>0</val>
          </value>
        </values>
      </ddeItem>
      <ddeItem name="ai[87].RH.V" advise="1">
        <values>
          <value>
            <val>85</val>
          </value>
        </values>
      </ddeItem>
      <ddeItem name="ai[87].RL.EN" advise="1">
        <values>
          <value>
            <val>1</val>
          </value>
        </values>
      </ddeItem>
      <ddeItem name="ai[87].RL.fix" advise="1">
        <values>
          <value>
            <val>0</val>
          </value>
        </values>
      </ddeItem>
      <ddeItem name="ai[87].RL.V" advise="1">
        <values>
          <value>
            <val>0</val>
          </value>
        </values>
      </ddeItem>
      <ddeItem name="ai[87].state" advise="1">
        <values>
          <value>
            <val>4</val>
          </value>
        </values>
      </ddeItem>
      <ddeItem name="ai[87].v" advise="1">
        <values>
          <value>
            <val>0</val>
          </value>
        </values>
      </ddeItem>
      <ddeItem name="ai[87].vCorrect" advise="1"/>
      <ddeItem name="ai[87].vCut" advise="1"/>
      <ddeItem name="ai[87].vRaw" advise="1"/>
      <ddeItem name="ai[87].ZH" advise="1">
        <values>
          <value>
            <val>100</val>
          </value>
        </values>
      </ddeItem>
      <ddeItem name="ai[87].ZL" advise="1">
        <values>
          <value>
            <val>0</val>
          </value>
        </values>
      </ddeItem>
      <ddeItem name="ai[88].break.sgn" advise="1">
        <values>
          <value>
            <val>1</val>
          </value>
        </values>
      </ddeItem>
      <ddeItem name="ai[88].EN" advise="1">
        <values>
          <value>
            <val>1</val>
          </value>
        </values>
      </ddeItem>
      <ddeItem name="ai[88].group" advise="1">
        <values>
          <value>
            <val>2</val>
          </value>
        </values>
      </ddeItem>
      <ddeItem name="ai[88].H.EN" advise="1">
        <values>
          <value>
            <val>0</val>
          </value>
        </values>
      </ddeItem>
      <ddeItem name="ai[88].H.fix" advise="1">
        <values>
          <value>
            <val>0</val>
          </value>
        </values>
      </ddeItem>
      <ddeItem name="ai[88].H.V" advise="1">
        <values>
          <value>
            <val>0</val>
          </value>
        </values>
      </ddeItem>
      <ddeItem name="ai[88].HH.EN" advise="1">
        <values>
          <value>
            <val>0</val>
          </value>
        </values>
      </ddeItem>
      <ddeItem name="ai[88].HH.fix" advise="1">
        <values>
          <value>
            <val>0</val>
          </value>
        </values>
      </ddeItem>
      <ddeItem name="ai[88].HH.V" advise="1">
        <values>
          <value>
            <val>0</val>
          </value>
        </values>
      </ddeItem>
      <ddeItem name="ai[88].i" advise="1">
        <values>
          <value>
            <val>1.2559890000000001E-3</val>
          </value>
        </values>
      </ddeItem>
      <ddeItem name="ai[88].isCorrect" advise="1">
        <values>
          <value>
            <val>0</val>
          </value>
        </values>
      </ddeItem>
      <ddeItem name="ai[88].isCut" advise="1"/>
      <ddeItem name="ai[88].isForce" advise="1">
        <values>
          <value>
            <val>0</val>
          </value>
        </values>
      </ddeItem>
      <ddeItem name="ai[88].isInvScale" advise="1">
        <values>
          <value>
            <val>0</val>
          </value>
        </values>
      </ddeItem>
      <ddeItem name="ai[88].L.EN" advise="1">
        <values>
          <value>
            <val>0</val>
          </value>
        </values>
      </ddeItem>
      <ddeItem name="ai[88].L.fix" advise="1">
        <values>
          <value>
            <val>0</val>
          </value>
        </values>
      </ddeItem>
      <ddeItem name="ai[88].L.V" advise="1">
        <values>
          <value>
            <val>0</val>
          </value>
        </values>
      </ddeItem>
      <ddeItem name="ai[88].LL.EN" advise="1">
        <values>
          <value>
            <val>0</val>
          </value>
        </values>
      </ddeItem>
      <ddeItem name="ai[88].LL.fix" advise="1">
        <values>
          <value>
            <val>0</val>
          </value>
        </values>
      </ddeItem>
      <ddeItem name="ai[88].LL.V" advise="1">
        <values>
          <value>
            <val>0</val>
          </value>
        </values>
      </ddeItem>
      <ddeItem name="ai[88].RH.EN" advise="1">
        <values>
          <value>
            <val>1</val>
          </value>
        </values>
      </ddeItem>
      <ddeItem name="ai[88].RH.fix" advise="1">
        <values>
          <value>
            <val>0</val>
          </value>
        </values>
      </ddeItem>
      <ddeItem name="ai[88].RH.V" advise="1">
        <values>
          <value>
            <val>210</val>
          </value>
        </values>
      </ddeItem>
      <ddeItem name="ai[88].RL.EN" advise="1">
        <values>
          <value>
            <val>1</val>
          </value>
        </values>
      </ddeItem>
      <ddeItem name="ai[88].RL.fix" advise="1">
        <values>
          <value>
            <val>0</val>
          </value>
        </values>
      </ddeItem>
      <ddeItem name="ai[88].RL.V" advise="1">
        <values>
          <value>
            <val>125</val>
          </value>
        </values>
      </ddeItem>
      <ddeItem name="ai[88].state" advise="1">
        <values>
          <value>
            <val>4</val>
          </value>
        </values>
      </ddeItem>
      <ddeItem name="ai[88].v" advise="1">
        <values>
          <value>
            <val>0</val>
          </value>
        </values>
      </ddeItem>
      <ddeItem name="ai[88].vCorrect" advise="1"/>
      <ddeItem name="ai[88].vCut" advise="1"/>
      <ddeItem name="ai[88].vRaw" advise="1"/>
      <ddeItem name="ai[88].ZH" advise="1">
        <values>
          <value>
            <val>300</val>
          </value>
        </values>
      </ddeItem>
      <ddeItem name="ai[88].ZL" advise="1">
        <values>
          <value>
            <val>0</val>
          </value>
        </values>
      </ddeItem>
      <ddeItem name="ai[89].break.sgn" advise="1">
        <values>
          <value>
            <val>1</val>
          </value>
        </values>
      </ddeItem>
      <ddeItem name="ai[89].EN" advise="1">
        <values>
          <value>
            <val>1</val>
          </value>
        </values>
      </ddeItem>
      <ddeItem name="ai[89].group" advise="1">
        <values>
          <value>
            <val>2</val>
          </value>
        </values>
      </ddeItem>
      <ddeItem name="ai[89].H.EN" advise="1">
        <values>
          <value>
            <val>0</val>
          </value>
        </values>
      </ddeItem>
      <ddeItem name="ai[89].H.fix" advise="1">
        <values>
          <value>
            <val>0</val>
          </value>
        </values>
      </ddeItem>
      <ddeItem name="ai[89].H.V" advise="1">
        <values>
          <value>
            <val>0</val>
          </value>
        </values>
      </ddeItem>
      <ddeItem name="ai[89].HH.EN" advise="1">
        <values>
          <value>
            <val>0</val>
          </value>
        </values>
      </ddeItem>
      <ddeItem name="ai[89].HH.fix" advise="1">
        <values>
          <value>
            <val>0</val>
          </value>
        </values>
      </ddeItem>
      <ddeItem name="ai[89].HH.V" advise="1">
        <values>
          <value>
            <val>0</val>
          </value>
        </values>
      </ddeItem>
      <ddeItem name="ai[89].i" advise="1">
        <values>
          <value>
            <val>1.570702E-3</val>
          </value>
        </values>
      </ddeItem>
      <ddeItem name="ai[89].isCorrect" advise="1">
        <values>
          <value>
            <val>0</val>
          </value>
        </values>
      </ddeItem>
      <ddeItem name="ai[89].isCut" advise="1"/>
      <ddeItem name="ai[89].isForce" advise="1">
        <values>
          <value>
            <val>0</val>
          </value>
        </values>
      </ddeItem>
      <ddeItem name="ai[89].isInvScale" advise="1">
        <values>
          <value>
            <val>0</val>
          </value>
        </values>
      </ddeItem>
      <ddeItem name="ai[89].L.EN" advise="1">
        <values>
          <value>
            <val>0</val>
          </value>
        </values>
      </ddeItem>
      <ddeItem name="ai[89].L.fix" advise="1">
        <values>
          <value>
            <val>0</val>
          </value>
        </values>
      </ddeItem>
      <ddeItem name="ai[89].L.V" advise="1">
        <values>
          <value>
            <val>0</val>
          </value>
        </values>
      </ddeItem>
      <ddeItem name="ai[89].LL.EN" advise="1">
        <values>
          <value>
            <val>0</val>
          </value>
        </values>
      </ddeItem>
      <ddeItem name="ai[89].LL.fix" advise="1">
        <values>
          <value>
            <val>0</val>
          </value>
        </values>
      </ddeItem>
      <ddeItem name="ai[89].LL.V" advise="1">
        <values>
          <value>
            <val>0</val>
          </value>
        </values>
      </ddeItem>
      <ddeItem name="ai[89].RH.EN" advise="1">
        <values>
          <value>
            <val>1</val>
          </value>
        </values>
      </ddeItem>
      <ddeItem name="ai[89].RH.fix" advise="1">
        <values>
          <value>
            <val>0</val>
          </value>
        </values>
      </ddeItem>
      <ddeItem name="ai[89].RH.V" advise="1">
        <values>
          <value>
            <val>210</val>
          </value>
        </values>
      </ddeItem>
      <ddeItem name="ai[89].RL.EN" advise="1">
        <values>
          <value>
            <val>1</val>
          </value>
        </values>
      </ddeItem>
      <ddeItem name="ai[89].RL.fix" advise="1">
        <values>
          <value>
            <val>0</val>
          </value>
        </values>
      </ddeItem>
      <ddeItem name="ai[89].RL.V" advise="1">
        <values>
          <value>
            <val>125</val>
          </value>
        </values>
      </ddeItem>
      <ddeItem name="ai[89].state" advise="1">
        <values>
          <value>
            <val>4</val>
          </value>
        </values>
      </ddeItem>
      <ddeItem name="ai[89].v" advise="1">
        <values>
          <value>
            <val>0</val>
          </value>
        </values>
      </ddeItem>
      <ddeItem name="ai[89].vCorrect" advise="1"/>
      <ddeItem name="ai[89].vCut" advise="1"/>
      <ddeItem name="ai[89].vRaw" advise="1"/>
      <ddeItem name="ai[89].ZH" advise="1">
        <values>
          <value>
            <val>300</val>
          </value>
        </values>
      </ddeItem>
      <ddeItem name="ai[89].ZL" advise="1">
        <values>
          <value>
            <val>0</val>
          </value>
        </values>
      </ddeItem>
      <ddeItem name="AI[9].break.sgn" advise="1">
        <values>
          <value>
            <val>1</val>
          </value>
        </values>
      </ddeItem>
      <ddeItem name="AI[9].EN" advise="1">
        <values>
          <value>
            <val>1</val>
          </value>
        </values>
      </ddeItem>
      <ddeItem name="AI[9].group" advise="1">
        <values>
          <value>
            <val>1</val>
          </value>
        </values>
      </ddeItem>
      <ddeItem name="AI[9].H.EN" advise="1">
        <values>
          <value>
            <val>1</val>
          </value>
        </values>
      </ddeItem>
      <ddeItem name="AI[9].H.fix" advise="1">
        <values>
          <value>
            <val>0</val>
          </value>
        </values>
      </ddeItem>
      <ddeItem name="AI[9].H.V" advise="1">
        <values>
          <value>
            <val>156</val>
          </value>
        </values>
      </ddeItem>
      <ddeItem name="AI[9].HH.EN" advise="1">
        <values>
          <value>
            <val>0</val>
          </value>
        </values>
      </ddeItem>
      <ddeItem name="AI[9].HH.fix" advise="1">
        <values>
          <value>
            <val>0</val>
          </value>
        </values>
      </ddeItem>
      <ddeItem name="AI[9].HH.V" advise="1">
        <values>
          <value>
            <val>0</val>
          </value>
        </values>
      </ddeItem>
      <ddeItem name="AI[9].i" advise="1">
        <values>
          <value>
            <val>2.5129319999999998E-3</val>
          </value>
        </values>
      </ddeItem>
      <ddeItem name="AI[9].isCorrect" advise="1">
        <values>
          <value>
            <val>0</val>
          </value>
        </values>
      </ddeItem>
      <ddeItem name="AI[9].isCut" advise="1"/>
      <ddeItem name="AI[9].isForce" advise="1">
        <values>
          <value>
            <val>0</val>
          </value>
        </values>
      </ddeItem>
      <ddeItem name="AI[9].isInvScale" advise="1">
        <values>
          <value>
            <val>0</val>
          </value>
        </values>
      </ddeItem>
      <ddeItem name="AI[9].L.EN" advise="1">
        <values>
          <value>
            <val>0</val>
          </value>
        </values>
      </ddeItem>
      <ddeItem name="AI[9].L.fix" advise="1">
        <values>
          <value>
            <val>0</val>
          </value>
        </values>
      </ddeItem>
      <ddeItem name="AI[9].L.V" advise="1">
        <values>
          <value>
            <val>0</val>
          </value>
        </values>
      </ddeItem>
      <ddeItem name="AI[9].LL.EN" advise="1">
        <values>
          <value>
            <val>0</val>
          </value>
        </values>
      </ddeItem>
      <ddeItem name="AI[9].LL.fix" advise="1">
        <values>
          <value>
            <val>0</val>
          </value>
        </values>
      </ddeItem>
      <ddeItem name="AI[9].LL.V" advise="1">
        <values>
          <value>
            <val>0</val>
          </value>
        </values>
      </ddeItem>
      <ddeItem name="AI[9].RH.EN" advise="1">
        <values>
          <value>
            <val>1</val>
          </value>
        </values>
      </ddeItem>
      <ddeItem name="AI[9].RH.fix" advise="1">
        <values>
          <value>
            <val>0</val>
          </value>
        </values>
      </ddeItem>
      <ddeItem name="AI[9].RH.V" advise="1">
        <values>
          <value>
            <val>155</val>
          </value>
        </values>
      </ddeItem>
      <ddeItem name="AI[9].RL.EN" advise="1">
        <values>
          <value>
            <val>1</val>
          </value>
        </values>
      </ddeItem>
      <ddeItem name="AI[9].RL.fix" advise="1">
        <values>
          <value>
            <val>0</val>
          </value>
        </values>
      </ddeItem>
      <ddeItem name="AI[9].RL.V" advise="1">
        <values>
          <value>
            <val>115</val>
          </value>
        </values>
      </ddeItem>
      <ddeItem name="AI[9].state" advise="1">
        <values>
          <value>
            <val>4</val>
          </value>
        </values>
      </ddeItem>
      <ddeItem name="AI[9].v" advise="1">
        <values>
          <value>
            <val>0</val>
          </value>
        </values>
      </ddeItem>
      <ddeItem name="AI[9].vCorrect" advise="1"/>
      <ddeItem name="AI[9].vCut" advise="1"/>
      <ddeItem name="AI[9].vRaw" advise="1"/>
      <ddeItem name="AI[9].ZH" advise="1">
        <values>
          <value>
            <val>200</val>
          </value>
        </values>
      </ddeItem>
      <ddeItem name="AI[9].ZL" advise="1">
        <values>
          <value>
            <val>0</val>
          </value>
        </values>
      </ddeItem>
      <ddeItem name="ai[90].break.sgn" advise="1">
        <values>
          <value>
            <val>1</val>
          </value>
        </values>
      </ddeItem>
      <ddeItem name="ai[90].EN" advise="1">
        <values>
          <value>
            <val>1</val>
          </value>
        </values>
      </ddeItem>
      <ddeItem name="ai[90].group" advise="1">
        <values>
          <value>
            <val>2</val>
          </value>
        </values>
      </ddeItem>
      <ddeItem name="ai[90].H.EN" advise="1">
        <values>
          <value>
            <val>0</val>
          </value>
        </values>
      </ddeItem>
      <ddeItem name="ai[90].H.fix" advise="1">
        <values>
          <value>
            <val>0</val>
          </value>
        </values>
      </ddeItem>
      <ddeItem name="ai[90].H.V" advise="1">
        <values>
          <value>
            <val>0</val>
          </value>
        </values>
      </ddeItem>
      <ddeItem name="ai[90].HH.EN" advise="1">
        <values>
          <value>
            <val>0</val>
          </value>
        </values>
      </ddeItem>
      <ddeItem name="ai[90].HH.fix" advise="1">
        <values>
          <value>
            <val>0</val>
          </value>
        </values>
      </ddeItem>
      <ddeItem name="ai[90].HH.V" advise="1">
        <values>
          <value>
            <val>0</val>
          </value>
        </values>
      </ddeItem>
      <ddeItem name="ai[90].i" advise="1">
        <values>
          <value>
            <val>1.570702E-3</val>
          </value>
        </values>
      </ddeItem>
      <ddeItem name="ai[90].isCorrect" advise="1">
        <values>
          <value>
            <val>0</val>
          </value>
        </values>
      </ddeItem>
      <ddeItem name="ai[90].isCut" advise="1"/>
      <ddeItem name="ai[90].isForce" advise="1">
        <values>
          <value>
            <val>0</val>
          </value>
        </values>
      </ddeItem>
      <ddeItem name="ai[90].isInvScale" advise="1">
        <values>
          <value>
            <val>0</val>
          </value>
        </values>
      </ddeItem>
      <ddeItem name="ai[90].L.EN" advise="1">
        <values>
          <value>
            <val>0</val>
          </value>
        </values>
      </ddeItem>
      <ddeItem name="ai[90].L.fix" advise="1">
        <values>
          <value>
            <val>0</val>
          </value>
        </values>
      </ddeItem>
      <ddeItem name="ai[90].L.V" advise="1">
        <values>
          <value>
            <val>0</val>
          </value>
        </values>
      </ddeItem>
      <ddeItem name="ai[90].LL.EN" advise="1">
        <values>
          <value>
            <val>0</val>
          </value>
        </values>
      </ddeItem>
      <ddeItem name="ai[90].LL.fix" advise="1">
        <values>
          <value>
            <val>0</val>
          </value>
        </values>
      </ddeItem>
      <ddeItem name="ai[90].LL.V" advise="1">
        <values>
          <value>
            <val>0</val>
          </value>
        </values>
      </ddeItem>
      <ddeItem name="ai[90].RH.EN" advise="1">
        <values>
          <value>
            <val>1</val>
          </value>
        </values>
      </ddeItem>
      <ddeItem name="ai[90].RH.fix" advise="1">
        <values>
          <value>
            <val>0</val>
          </value>
        </values>
      </ddeItem>
      <ddeItem name="ai[90].RH.V" advise="1">
        <values>
          <value>
            <val>210</val>
          </value>
        </values>
      </ddeItem>
      <ddeItem name="ai[90].RL.EN" advise="1">
        <values>
          <value>
            <val>1</val>
          </value>
        </values>
      </ddeItem>
      <ddeItem name="ai[90].RL.fix" advise="1">
        <values>
          <value>
            <val>0</val>
          </value>
        </values>
      </ddeItem>
      <ddeItem name="ai[90].RL.V" advise="1">
        <values>
          <value>
            <val>125</val>
          </value>
        </values>
      </ddeItem>
      <ddeItem name="ai[90].state" advise="1">
        <values>
          <value>
            <val>4</val>
          </value>
        </values>
      </ddeItem>
      <ddeItem name="ai[90].v" advise="1">
        <values>
          <value>
            <val>0</val>
          </value>
        </values>
      </ddeItem>
      <ddeItem name="ai[90].vCorrect" advise="1"/>
      <ddeItem name="ai[90].vCut" advise="1"/>
      <ddeItem name="ai[90].vRaw" advise="1"/>
      <ddeItem name="ai[90].ZH" advise="1">
        <values>
          <value>
            <val>300</val>
          </value>
        </values>
      </ddeItem>
      <ddeItem name="ai[90].ZL" advise="1">
        <values>
          <value>
            <val>0</val>
          </value>
        </values>
      </ddeItem>
      <ddeItem name="ai[91].break.sgn" advise="1">
        <values>
          <value>
            <val>1</val>
          </value>
        </values>
      </ddeItem>
      <ddeItem name="ai[91].EN" advise="1">
        <values>
          <value>
            <val>1</val>
          </value>
        </values>
      </ddeItem>
      <ddeItem name="ai[91].group" advise="1">
        <values>
          <value>
            <val>2</val>
          </value>
        </values>
      </ddeItem>
      <ddeItem name="ai[91].H.EN" advise="1">
        <values>
          <value>
            <val>0</val>
          </value>
        </values>
      </ddeItem>
      <ddeItem name="ai[91].H.fix" advise="1">
        <values>
          <value>
            <val>0</val>
          </value>
        </values>
      </ddeItem>
      <ddeItem name="ai[91].H.V" advise="1">
        <values>
          <value>
            <val>0</val>
          </value>
        </values>
      </ddeItem>
      <ddeItem name="ai[91].HH.EN" advise="1">
        <values>
          <value>
            <val>0</val>
          </value>
        </values>
      </ddeItem>
      <ddeItem name="ai[91].HH.fix" advise="1">
        <values>
          <value>
            <val>0</val>
          </value>
        </values>
      </ddeItem>
      <ddeItem name="ai[91].HH.V" advise="1">
        <values>
          <value>
            <val>0</val>
          </value>
        </values>
      </ddeItem>
      <ddeItem name="ai[91].i" advise="1">
        <values>
          <value>
            <val>1.570702E-3</val>
          </value>
        </values>
      </ddeItem>
      <ddeItem name="ai[91].isCorrect" advise="1">
        <values>
          <value>
            <val>0</val>
          </value>
        </values>
      </ddeItem>
      <ddeItem name="ai[91].isCut" advise="1"/>
      <ddeItem name="ai[91].isForce" advise="1">
        <values>
          <value>
            <val>0</val>
          </value>
        </values>
      </ddeItem>
      <ddeItem name="ai[91].isInvScale" advise="1">
        <values>
          <value>
            <val>0</val>
          </value>
        </values>
      </ddeItem>
      <ddeItem name="ai[91].L.EN" advise="1">
        <values>
          <value>
            <val>0</val>
          </value>
        </values>
      </ddeItem>
      <ddeItem name="ai[91].L.fix" advise="1">
        <values>
          <value>
            <val>0</val>
          </value>
        </values>
      </ddeItem>
      <ddeItem name="ai[91].L.V" advise="1">
        <values>
          <value>
            <val>0</val>
          </value>
        </values>
      </ddeItem>
      <ddeItem name="ai[91].LL.EN" advise="1">
        <values>
          <value>
            <val>0</val>
          </value>
        </values>
      </ddeItem>
      <ddeItem name="ai[91].LL.fix" advise="1">
        <values>
          <value>
            <val>0</val>
          </value>
        </values>
      </ddeItem>
      <ddeItem name="ai[91].LL.V" advise="1">
        <values>
          <value>
            <val>0</val>
          </value>
        </values>
      </ddeItem>
      <ddeItem name="ai[91].RH.EN" advise="1">
        <values>
          <value>
            <val>0</val>
          </value>
        </values>
      </ddeItem>
      <ddeItem name="ai[91].RH.fix" advise="1">
        <values>
          <value>
            <val>0</val>
          </value>
        </values>
      </ddeItem>
      <ddeItem name="ai[91].RH.V" advise="1">
        <values>
          <value>
            <val>0</val>
          </value>
        </values>
      </ddeItem>
      <ddeItem name="ai[91].RL.EN" advise="1">
        <values>
          <value>
            <val>0</val>
          </value>
        </values>
      </ddeItem>
      <ddeItem name="ai[91].RL.fix" advise="1">
        <values>
          <value>
            <val>0</val>
          </value>
        </values>
      </ddeItem>
      <ddeItem name="ai[91].RL.V" advise="1">
        <values>
          <value>
            <val>0</val>
          </value>
        </values>
      </ddeItem>
      <ddeItem name="ai[91].state" advise="1">
        <values>
          <value>
            <val>4</val>
          </value>
        </values>
      </ddeItem>
      <ddeItem name="ai[91].v" advise="1">
        <values>
          <value>
            <val>0</val>
          </value>
        </values>
      </ddeItem>
      <ddeItem name="ai[91].vCorrect" advise="1"/>
      <ddeItem name="ai[91].vCut" advise="1"/>
      <ddeItem name="ai[91].vRaw" advise="1"/>
      <ddeItem name="ai[91].ZH" advise="1">
        <values>
          <value>
            <val>100</val>
          </value>
        </values>
      </ddeItem>
      <ddeItem name="ai[91].ZL" advise="1">
        <values>
          <value>
            <val>0</val>
          </value>
        </values>
      </ddeItem>
      <ddeItem name="ai[92].break.sgn" advise="1">
        <values>
          <value>
            <val>0</val>
          </value>
        </values>
      </ddeItem>
      <ddeItem name="ai[92].EN" advise="1">
        <values>
          <value>
            <val>0</val>
          </value>
        </values>
      </ddeItem>
      <ddeItem name="ai[92].group" advise="1">
        <values>
          <value>
            <val>0</val>
          </value>
        </values>
      </ddeItem>
      <ddeItem name="ai[92].H.EN" advise="1">
        <values>
          <value>
            <val>0</val>
          </value>
        </values>
      </ddeItem>
      <ddeItem name="ai[92].H.fix" advise="1">
        <values>
          <value>
            <val>0</val>
          </value>
        </values>
      </ddeItem>
      <ddeItem name="ai[92].H.V" advise="1">
        <values>
          <value>
            <val>0</val>
          </value>
        </values>
      </ddeItem>
      <ddeItem name="ai[92].HH.EN" advise="1">
        <values>
          <value>
            <val>0</val>
          </value>
        </values>
      </ddeItem>
      <ddeItem name="ai[92].HH.fix" advise="1">
        <values>
          <value>
            <val>0</val>
          </value>
        </values>
      </ddeItem>
      <ddeItem name="ai[92].HH.V" advise="1">
        <values>
          <value>
            <val>0</val>
          </value>
        </values>
      </ddeItem>
      <ddeItem name="ai[92].i" advise="1">
        <values>
          <value>
            <val>0</val>
          </value>
        </values>
      </ddeItem>
      <ddeItem name="ai[92].isCorrect" advise="1">
        <values>
          <value>
            <val>0</val>
          </value>
        </values>
      </ddeItem>
      <ddeItem name="ai[92].isCut" advise="1"/>
      <ddeItem name="ai[92].isForce" advise="1">
        <values>
          <value>
            <val>0</val>
          </value>
        </values>
      </ddeItem>
      <ddeItem name="ai[92].isInvScale" advise="1">
        <values>
          <value>
            <val>0</val>
          </value>
        </values>
      </ddeItem>
      <ddeItem name="ai[92].L.EN" advise="1">
        <values>
          <value>
            <val>0</val>
          </value>
        </values>
      </ddeItem>
      <ddeItem name="ai[92].L.fix" advise="1">
        <values>
          <value>
            <val>0</val>
          </value>
        </values>
      </ddeItem>
      <ddeItem name="ai[92].L.V" advise="1">
        <values>
          <value>
            <val>0</val>
          </value>
        </values>
      </ddeItem>
      <ddeItem name="ai[92].LL.EN" advise="1">
        <values>
          <value>
            <val>0</val>
          </value>
        </values>
      </ddeItem>
      <ddeItem name="ai[92].LL.fix" advise="1">
        <values>
          <value>
            <val>0</val>
          </value>
        </values>
      </ddeItem>
      <ddeItem name="ai[92].LL.V" advise="1">
        <values>
          <value>
            <val>0</val>
          </value>
        </values>
      </ddeItem>
      <ddeItem name="ai[92].RH.EN" advise="1">
        <values>
          <value>
            <val>0</val>
          </value>
        </values>
      </ddeItem>
      <ddeItem name="ai[92].RH.fix" advise="1">
        <values>
          <value>
            <val>0</val>
          </value>
        </values>
      </ddeItem>
      <ddeItem name="ai[92].RH.V" advise="1">
        <values>
          <value>
            <val>0</val>
          </value>
        </values>
      </ddeItem>
      <ddeItem name="ai[92].RL.EN" advise="1">
        <values>
          <value>
            <val>0</val>
          </value>
        </values>
      </ddeItem>
      <ddeItem name="ai[92].RL.fix" advise="1">
        <values>
          <value>
            <val>0</val>
          </value>
        </values>
      </ddeItem>
      <ddeItem name="ai[92].RL.V" advise="1">
        <values>
          <value>
            <val>0</val>
          </value>
        </values>
      </ddeItem>
      <ddeItem name="ai[92].state" advise="1">
        <values>
          <value>
            <val>4</val>
          </value>
        </values>
      </ddeItem>
      <ddeItem name="ai[92].v" advise="1">
        <values>
          <value>
            <val>0</val>
          </value>
        </values>
      </ddeItem>
      <ddeItem name="ai[92].vCorrect" advise="1"/>
      <ddeItem name="ai[92].vCut" advise="1"/>
      <ddeItem name="ai[92].vRaw" advise="1"/>
      <ddeItem name="ai[92].ZH" advise="1">
        <values>
          <value>
            <val>0</val>
          </value>
        </values>
      </ddeItem>
      <ddeItem name="ai[92].ZL" advise="1">
        <values>
          <value>
            <val>0</val>
          </value>
        </values>
      </ddeItem>
      <ddeItem name="ai[93].break.sgn" advise="1">
        <values>
          <value>
            <val>0</val>
          </value>
        </values>
      </ddeItem>
      <ddeItem name="ai[93].EN" advise="1">
        <values>
          <value>
            <val>0</val>
          </value>
        </values>
      </ddeItem>
      <ddeItem name="ai[93].group" advise="1">
        <values>
          <value>
            <val>0</val>
          </value>
        </values>
      </ddeItem>
      <ddeItem name="ai[93].H.EN" advise="1">
        <values>
          <value>
            <val>0</val>
          </value>
        </values>
      </ddeItem>
      <ddeItem name="ai[93].H.fix" advise="1">
        <values>
          <value>
            <val>0</val>
          </value>
        </values>
      </ddeItem>
      <ddeItem name="ai[93].H.V" advise="1">
        <values>
          <value>
            <val>0</val>
          </value>
        </values>
      </ddeItem>
      <ddeItem name="ai[93].HH.EN" advise="1">
        <values>
          <value>
            <val>0</val>
          </value>
        </values>
      </ddeItem>
      <ddeItem name="ai[93].HH.fix" advise="1">
        <values>
          <value>
            <val>0</val>
          </value>
        </values>
      </ddeItem>
      <ddeItem name="ai[93].HH.V" advise="1">
        <values>
          <value>
            <val>0</val>
          </value>
        </values>
      </ddeItem>
      <ddeItem name="ai[93].i" advise="1">
        <values>
          <value>
            <val>0</val>
          </value>
        </values>
      </ddeItem>
      <ddeItem name="ai[93].isCorrect" advise="1">
        <values>
          <value>
            <val>0</val>
          </value>
        </values>
      </ddeItem>
      <ddeItem name="ai[93].isCut" advise="1"/>
      <ddeItem name="ai[93].isForce" advise="1">
        <values>
          <value>
            <val>0</val>
          </value>
        </values>
      </ddeItem>
      <ddeItem name="ai[93].isInvScale" advise="1">
        <values>
          <value>
            <val>0</val>
          </value>
        </values>
      </ddeItem>
      <ddeItem name="ai[93].L.EN" advise="1">
        <values>
          <value>
            <val>0</val>
          </value>
        </values>
      </ddeItem>
      <ddeItem name="ai[93].L.fix" advise="1">
        <values>
          <value>
            <val>0</val>
          </value>
        </values>
      </ddeItem>
      <ddeItem name="ai[93].L.V" advise="1">
        <values>
          <value>
            <val>0</val>
          </value>
        </values>
      </ddeItem>
      <ddeItem name="ai[93].LL.EN" advise="1">
        <values>
          <value>
            <val>0</val>
          </value>
        </values>
      </ddeItem>
      <ddeItem name="ai[93].LL.fix" advise="1">
        <values>
          <value>
            <val>0</val>
          </value>
        </values>
      </ddeItem>
      <ddeItem name="ai[93].LL.V" advise="1">
        <values>
          <value>
            <val>0</val>
          </value>
        </values>
      </ddeItem>
      <ddeItem name="ai[93].RH.EN" advise="1">
        <values>
          <value>
            <val>0</val>
          </value>
        </values>
      </ddeItem>
      <ddeItem name="ai[93].RH.fix" advise="1">
        <values>
          <value>
            <val>0</val>
          </value>
        </values>
      </ddeItem>
      <ddeItem name="ai[93].RH.V" advise="1">
        <values>
          <value>
            <val>0</val>
          </value>
        </values>
      </ddeItem>
      <ddeItem name="ai[93].RL.EN" advise="1">
        <values>
          <value>
            <val>0</val>
          </value>
        </values>
      </ddeItem>
      <ddeItem name="ai[93].RL.fix" advise="1">
        <values>
          <value>
            <val>0</val>
          </value>
        </values>
      </ddeItem>
      <ddeItem name="ai[93].RL.V" advise="1">
        <values>
          <value>
            <val>0</val>
          </value>
        </values>
      </ddeItem>
      <ddeItem name="ai[93].state" advise="1">
        <values>
          <value>
            <val>4</val>
          </value>
        </values>
      </ddeItem>
      <ddeItem name="ai[93].v" advise="1">
        <values>
          <value>
            <val>0</val>
          </value>
        </values>
      </ddeItem>
      <ddeItem name="ai[93].vCorrect" advise="1"/>
      <ddeItem name="ai[93].vCut" advise="1"/>
      <ddeItem name="ai[93].vRaw" advise="1"/>
      <ddeItem name="ai[93].ZH" advise="1">
        <values>
          <value>
            <val>0</val>
          </value>
        </values>
      </ddeItem>
      <ddeItem name="ai[93].ZL" advise="1">
        <values>
          <value>
            <val>0</val>
          </value>
        </values>
      </ddeItem>
      <ddeItem name="ai[94].break.sgn" advise="1">
        <values>
          <value>
            <val>0</val>
          </value>
        </values>
      </ddeItem>
      <ddeItem name="ai[94].EN" advise="1">
        <values>
          <value>
            <val>0</val>
          </value>
        </values>
      </ddeItem>
      <ddeItem name="ai[94].group" advise="1">
        <values>
          <value>
            <val>0</val>
          </value>
        </values>
      </ddeItem>
      <ddeItem name="ai[94].H.EN" advise="1">
        <values>
          <value>
            <val>0</val>
          </value>
        </values>
      </ddeItem>
      <ddeItem name="ai[94].H.fix" advise="1">
        <values>
          <value>
            <val>0</val>
          </value>
        </values>
      </ddeItem>
      <ddeItem name="ai[94].H.V" advise="1">
        <values>
          <value>
            <val>0</val>
          </value>
        </values>
      </ddeItem>
      <ddeItem name="ai[94].HH.EN" advise="1">
        <values>
          <value>
            <val>0</val>
          </value>
        </values>
      </ddeItem>
      <ddeItem name="ai[94].HH.fix" advise="1">
        <values>
          <value>
            <val>0</val>
          </value>
        </values>
      </ddeItem>
      <ddeItem name="ai[94].HH.V" advise="1">
        <values>
          <value>
            <val>0</val>
          </value>
        </values>
      </ddeItem>
      <ddeItem name="ai[94].i" advise="1">
        <values>
          <value>
            <val>0</val>
          </value>
        </values>
      </ddeItem>
      <ddeItem name="ai[94].isCorrect" advise="1">
        <values>
          <value>
            <val>0</val>
          </value>
        </values>
      </ddeItem>
      <ddeItem name="ai[94].isCut" advise="1"/>
      <ddeItem name="ai[94].isForce" advise="1">
        <values>
          <value>
            <val>0</val>
          </value>
        </values>
      </ddeItem>
      <ddeItem name="ai[94].isInvScale" advise="1">
        <values>
          <value>
            <val>0</val>
          </value>
        </values>
      </ddeItem>
      <ddeItem name="ai[94].L.EN" advise="1">
        <values>
          <value>
            <val>0</val>
          </value>
        </values>
      </ddeItem>
      <ddeItem name="ai[94].L.fix" advise="1">
        <values>
          <value>
            <val>0</val>
          </value>
        </values>
      </ddeItem>
      <ddeItem name="ai[94].L.V" advise="1">
        <values>
          <value>
            <val>0</val>
          </value>
        </values>
      </ddeItem>
      <ddeItem name="ai[94].LL.EN" advise="1">
        <values>
          <value>
            <val>0</val>
          </value>
        </values>
      </ddeItem>
      <ddeItem name="ai[94].LL.fix" advise="1">
        <values>
          <value>
            <val>0</val>
          </value>
        </values>
      </ddeItem>
      <ddeItem name="ai[94].LL.V" advise="1">
        <values>
          <value>
            <val>0</val>
          </value>
        </values>
      </ddeItem>
      <ddeItem name="ai[94].RH.EN" advise="1">
        <values>
          <value>
            <val>0</val>
          </value>
        </values>
      </ddeItem>
      <ddeItem name="ai[94].RH.fix" advise="1">
        <values>
          <value>
            <val>0</val>
          </value>
        </values>
      </ddeItem>
      <ddeItem name="ai[94].RH.V" advise="1">
        <values>
          <value>
            <val>0</val>
          </value>
        </values>
      </ddeItem>
      <ddeItem name="ai[94].RL.EN" advise="1">
        <values>
          <value>
            <val>0</val>
          </value>
        </values>
      </ddeItem>
      <ddeItem name="ai[94].RL.fix" advise="1">
        <values>
          <value>
            <val>0</val>
          </value>
        </values>
      </ddeItem>
      <ddeItem name="ai[94].RL.V" advise="1">
        <values>
          <value>
            <val>0</val>
          </value>
        </values>
      </ddeItem>
      <ddeItem name="ai[94].state" advise="1">
        <values>
          <value>
            <val>4</val>
          </value>
        </values>
      </ddeItem>
      <ddeItem name="ai[94].v" advise="1">
        <values>
          <value>
            <val>0</val>
          </value>
        </values>
      </ddeItem>
      <ddeItem name="ai[94].vCorrect" advise="1"/>
      <ddeItem name="ai[94].vCut" advise="1"/>
      <ddeItem name="ai[94].vRaw" advise="1"/>
      <ddeItem name="ai[94].ZH" advise="1">
        <values>
          <value>
            <val>0</val>
          </value>
        </values>
      </ddeItem>
      <ddeItem name="ai[94].ZL" advise="1">
        <values>
          <value>
            <val>0</val>
          </value>
        </values>
      </ddeItem>
      <ddeItem name="ai[95].break.sgn" advise="1">
        <values>
          <value>
            <val>0</val>
          </value>
        </values>
      </ddeItem>
      <ddeItem name="ai[95].EN" advise="1">
        <values>
          <value>
            <val>0</val>
          </value>
        </values>
      </ddeItem>
      <ddeItem name="ai[95].group" advise="1">
        <values>
          <value>
            <val>0</val>
          </value>
        </values>
      </ddeItem>
      <ddeItem name="ai[95].H.EN" advise="1">
        <values>
          <value>
            <val>0</val>
          </value>
        </values>
      </ddeItem>
      <ddeItem name="ai[95].H.fix" advise="1">
        <values>
          <value>
            <val>0</val>
          </value>
        </values>
      </ddeItem>
      <ddeItem name="ai[95].H.V" advise="1">
        <values>
          <value>
            <val>0</val>
          </value>
        </values>
      </ddeItem>
      <ddeItem name="ai[95].HH.EN" advise="1">
        <values>
          <value>
            <val>0</val>
          </value>
        </values>
      </ddeItem>
      <ddeItem name="ai[95].HH.fix" advise="1">
        <values>
          <value>
            <val>0</val>
          </value>
        </values>
      </ddeItem>
      <ddeItem name="ai[95].HH.V" advise="1">
        <values>
          <value>
            <val>0</val>
          </value>
        </values>
      </ddeItem>
      <ddeItem name="ai[95].i" advise="1">
        <values>
          <value>
            <val>0</val>
          </value>
        </values>
      </ddeItem>
      <ddeItem name="ai[95].isCorrect" advise="1">
        <values>
          <value>
            <val>0</val>
          </value>
        </values>
      </ddeItem>
      <ddeItem name="ai[95].isCut" advise="1"/>
      <ddeItem name="ai[95].isForce" advise="1">
        <values>
          <value>
            <val>0</val>
          </value>
        </values>
      </ddeItem>
      <ddeItem name="ai[95].isInvScale" advise="1">
        <values>
          <value>
            <val>0</val>
          </value>
        </values>
      </ddeItem>
      <ddeItem name="ai[95].L.EN" advise="1">
        <values>
          <value>
            <val>0</val>
          </value>
        </values>
      </ddeItem>
      <ddeItem name="ai[95].L.fix" advise="1">
        <values>
          <value>
            <val>0</val>
          </value>
        </values>
      </ddeItem>
      <ddeItem name="ai[95].L.V" advise="1">
        <values>
          <value>
            <val>0</val>
          </value>
        </values>
      </ddeItem>
      <ddeItem name="ai[95].LL.EN" advise="1">
        <values>
          <value>
            <val>0</val>
          </value>
        </values>
      </ddeItem>
      <ddeItem name="ai[95].LL.fix" advise="1">
        <values>
          <value>
            <val>0</val>
          </value>
        </values>
      </ddeItem>
      <ddeItem name="ai[95].LL.V" advise="1">
        <values>
          <value>
            <val>0</val>
          </value>
        </values>
      </ddeItem>
      <ddeItem name="ai[95].RH.EN" advise="1">
        <values>
          <value>
            <val>0</val>
          </value>
        </values>
      </ddeItem>
      <ddeItem name="ai[95].RH.fix" advise="1">
        <values>
          <value>
            <val>0</val>
          </value>
        </values>
      </ddeItem>
      <ddeItem name="ai[95].RH.V" advise="1">
        <values>
          <value>
            <val>0</val>
          </value>
        </values>
      </ddeItem>
      <ddeItem name="ai[95].RL.EN" advise="1">
        <values>
          <value>
            <val>0</val>
          </value>
        </values>
      </ddeItem>
      <ddeItem name="ai[95].RL.fix" advise="1">
        <values>
          <value>
            <val>0</val>
          </value>
        </values>
      </ddeItem>
      <ddeItem name="ai[95].RL.V" advise="1">
        <values>
          <value>
            <val>0</val>
          </value>
        </values>
      </ddeItem>
      <ddeItem name="ai[95].state" advise="1">
        <values>
          <value>
            <val>4</val>
          </value>
        </values>
      </ddeItem>
      <ddeItem name="ai[95].v" advise="1">
        <values>
          <value>
            <val>0</val>
          </value>
        </values>
      </ddeItem>
      <ddeItem name="ai[95].vCorrect" advise="1"/>
      <ddeItem name="ai[95].vCut" advise="1"/>
      <ddeItem name="ai[95].vRaw" advise="1"/>
      <ddeItem name="ai[95].ZH" advise="1">
        <values>
          <value>
            <val>0</val>
          </value>
        </values>
      </ddeItem>
      <ddeItem name="ai[95].ZL" advise="1">
        <values>
          <value>
            <val>0</val>
          </value>
        </values>
      </ddeItem>
      <ddeItem name="ai[96].break.sgn" advise="1">
        <values>
          <value>
            <val>1</val>
          </value>
        </values>
      </ddeItem>
      <ddeItem name="ai[96].EN" advise="1">
        <values>
          <value>
            <val>1</val>
          </value>
        </values>
      </ddeItem>
      <ddeItem name="ai[96].group" advise="1">
        <values>
          <value>
            <val>3</val>
          </value>
        </values>
      </ddeItem>
      <ddeItem name="ai[96].H.EN" advise="1">
        <values>
          <value>
            <val>0</val>
          </value>
        </values>
      </ddeItem>
      <ddeItem name="ai[96].H.fix" advise="1">
        <values>
          <value>
            <val>0</val>
          </value>
        </values>
      </ddeItem>
      <ddeItem name="ai[96].H.V" advise="1">
        <values>
          <value>
            <val>0</val>
          </value>
        </values>
      </ddeItem>
      <ddeItem name="ai[96].HH.EN" advise="1">
        <values>
          <value>
            <val>0</val>
          </value>
        </values>
      </ddeItem>
      <ddeItem name="ai[96].HH.fix" advise="1">
        <values>
          <value>
            <val>0</val>
          </value>
        </values>
      </ddeItem>
      <ddeItem name="ai[96].HH.V" advise="1">
        <values>
          <value>
            <val>0</val>
          </value>
        </values>
      </ddeItem>
      <ddeItem name="ai[96].i" advise="1">
        <values>
          <value>
            <val>4.7111510000000002E-3</val>
          </value>
        </values>
      </ddeItem>
      <ddeItem name="ai[96].isCorrect" advise="1">
        <values>
          <value>
            <val>0</val>
          </value>
        </values>
      </ddeItem>
      <ddeItem name="ai[96].isCut" advise="1"/>
      <ddeItem name="ai[96].isForce" advise="1">
        <values>
          <value>
            <val>0</val>
          </value>
        </values>
      </ddeItem>
      <ddeItem name="ai[96].isInvScale" advise="1">
        <values>
          <value>
            <val>0</val>
          </value>
        </values>
      </ddeItem>
      <ddeItem name="ai[96].L.EN" advise="1">
        <values>
          <value>
            <val>0</val>
          </value>
        </values>
      </ddeItem>
      <ddeItem name="ai[96].L.fix" advise="1">
        <values>
          <value>
            <val>0</val>
          </value>
        </values>
      </ddeItem>
      <ddeItem name="ai[96].L.V" advise="1">
        <values>
          <value>
            <val>0</val>
          </value>
        </values>
      </ddeItem>
      <ddeItem name="ai[96].LL.EN" advise="1">
        <values>
          <value>
            <val>0</val>
          </value>
        </values>
      </ddeItem>
      <ddeItem name="ai[96].LL.fix" advise="1">
        <values>
          <value>
            <val>0</val>
          </value>
        </values>
      </ddeItem>
      <ddeItem name="ai[96].LL.V" advise="1">
        <values>
          <value>
            <val>0</val>
          </value>
        </values>
      </ddeItem>
      <ddeItem name="ai[96].RH.EN" advise="1">
        <values>
          <value>
            <val>1</val>
          </value>
        </values>
      </ddeItem>
      <ddeItem name="ai[96].RH.fix" advise="1">
        <values>
          <value>
            <val>0</val>
          </value>
        </values>
      </ddeItem>
      <ddeItem name="ai[96].RH.V" advise="1">
        <values>
          <value>
            <val>50</val>
          </value>
        </values>
      </ddeItem>
      <ddeItem name="ai[96].RL.EN" advise="1">
        <values>
          <value>
            <val>1</val>
          </value>
        </values>
      </ddeItem>
      <ddeItem name="ai[96].RL.fix" advise="1">
        <values>
          <value>
            <val>0</val>
          </value>
        </values>
      </ddeItem>
      <ddeItem name="ai[96].RL.V" advise="1">
        <values>
          <value>
            <val>30</val>
          </value>
        </values>
      </ddeItem>
      <ddeItem name="ai[96].state" advise="1">
        <values>
          <value>
            <val>4</val>
          </value>
        </values>
      </ddeItem>
      <ddeItem name="ai[96].v" advise="1">
        <values>
          <value>
            <val>0</val>
          </value>
        </values>
      </ddeItem>
      <ddeItem name="ai[96].vCorrect" advise="1"/>
      <ddeItem name="ai[96].vCut" advise="1"/>
      <ddeItem name="ai[96].vRaw" advise="1"/>
      <ddeItem name="ai[96].ZH" advise="1">
        <values>
          <value>
            <val>100</val>
          </value>
        </values>
      </ddeItem>
      <ddeItem name="ai[96].ZL" advise="1">
        <values>
          <value>
            <val>0</val>
          </value>
        </values>
      </ddeItem>
      <ddeItem name="ai[97].break.sgn" advise="1">
        <values>
          <value>
            <val>1</val>
          </value>
        </values>
      </ddeItem>
      <ddeItem name="ai[97].EN" advise="1">
        <values>
          <value>
            <val>1</val>
          </value>
        </values>
      </ddeItem>
      <ddeItem name="ai[97].group" advise="1">
        <values>
          <value>
            <val>3</val>
          </value>
        </values>
      </ddeItem>
      <ddeItem name="ai[97].H.EN" advise="1">
        <values>
          <value>
            <val>0</val>
          </value>
        </values>
      </ddeItem>
      <ddeItem name="ai[97].H.fix" advise="1">
        <values>
          <value>
            <val>0</val>
          </value>
        </values>
      </ddeItem>
      <ddeItem name="ai[97].H.V" advise="1">
        <values>
          <value>
            <val>0</val>
          </value>
        </values>
      </ddeItem>
      <ddeItem name="ai[97].HH.EN" advise="1">
        <values>
          <value>
            <val>0</val>
          </value>
        </values>
      </ddeItem>
      <ddeItem name="ai[97].HH.fix" advise="1">
        <values>
          <value>
            <val>0</val>
          </value>
        </values>
      </ddeItem>
      <ddeItem name="ai[97].HH.V" advise="1">
        <values>
          <value>
            <val>0</val>
          </value>
        </values>
      </ddeItem>
      <ddeItem name="ai[97].i" advise="1">
        <values>
          <value>
            <val>4.397392E-3</val>
          </value>
        </values>
      </ddeItem>
      <ddeItem name="ai[97].isCorrect" advise="1">
        <values>
          <value>
            <val>0</val>
          </value>
        </values>
      </ddeItem>
      <ddeItem name="ai[97].isCut" advise="1"/>
      <ddeItem name="ai[97].isForce" advise="1">
        <values>
          <value>
            <val>0</val>
          </value>
        </values>
      </ddeItem>
      <ddeItem name="ai[97].isInvScale" advise="1">
        <values>
          <value>
            <val>0</val>
          </value>
        </values>
      </ddeItem>
      <ddeItem name="ai[97].L.EN" advise="1">
        <values>
          <value>
            <val>0</val>
          </value>
        </values>
      </ddeItem>
      <ddeItem name="ai[97].L.fix" advise="1">
        <values>
          <value>
            <val>0</val>
          </value>
        </values>
      </ddeItem>
      <ddeItem name="ai[97].L.V" advise="1">
        <values>
          <value>
            <val>0</val>
          </value>
        </values>
      </ddeItem>
      <ddeItem name="ai[97].LL.EN" advise="1">
        <values>
          <value>
            <val>0</val>
          </value>
        </values>
      </ddeItem>
      <ddeItem name="ai[97].LL.fix" advise="1">
        <values>
          <value>
            <val>0</val>
          </value>
        </values>
      </ddeItem>
      <ddeItem name="ai[97].LL.V" advise="1">
        <values>
          <value>
            <val>0</val>
          </value>
        </values>
      </ddeItem>
      <ddeItem name="ai[97].RH.EN" advise="1">
        <values>
          <value>
            <val>1</val>
          </value>
        </values>
      </ddeItem>
      <ddeItem name="ai[97].RH.fix" advise="1">
        <values>
          <value>
            <val>0</val>
          </value>
        </values>
      </ddeItem>
      <ddeItem name="ai[97].RH.V" advise="1">
        <values>
          <value>
            <val>25</val>
          </value>
        </values>
      </ddeItem>
      <ddeItem name="ai[97].RL.EN" advise="1">
        <values>
          <value>
            <val>1</val>
          </value>
        </values>
      </ddeItem>
      <ddeItem name="ai[97].RL.fix" advise="1">
        <values>
          <value>
            <val>0</val>
          </value>
        </values>
      </ddeItem>
      <ddeItem name="ai[97].RL.V" advise="1">
        <values>
          <value>
            <val>18</val>
          </value>
        </values>
      </ddeItem>
      <ddeItem name="ai[97].state" advise="1">
        <values>
          <value>
            <val>4</val>
          </value>
        </values>
      </ddeItem>
      <ddeItem name="ai[97].v" advise="1">
        <values>
          <value>
            <val>0</val>
          </value>
        </values>
      </ddeItem>
      <ddeItem name="ai[97].vCorrect" advise="1"/>
      <ddeItem name="ai[97].vCut" advise="1"/>
      <ddeItem name="ai[97].vRaw" advise="1"/>
      <ddeItem name="ai[97].ZH" advise="1">
        <values>
          <value>
            <val>60</val>
          </value>
        </values>
      </ddeItem>
      <ddeItem name="ai[97].ZL" advise="1">
        <values>
          <value>
            <val>0</val>
          </value>
        </values>
      </ddeItem>
      <ddeItem name="ai[98].break.sgn" advise="1">
        <values>
          <value>
            <val>1</val>
          </value>
        </values>
      </ddeItem>
      <ddeItem name="ai[98].EN" advise="1">
        <values>
          <value>
            <val>1</val>
          </value>
        </values>
      </ddeItem>
      <ddeItem name="ai[98].group" advise="1">
        <values>
          <value>
            <val>3</val>
          </value>
        </values>
      </ddeItem>
      <ddeItem name="ai[98].H.EN" advise="1">
        <values>
          <value>
            <val>0</val>
          </value>
        </values>
      </ddeItem>
      <ddeItem name="ai[98].H.fix" advise="1">
        <values>
          <value>
            <val>0</val>
          </value>
        </values>
      </ddeItem>
      <ddeItem name="ai[98].H.V" advise="1">
        <values>
          <value>
            <val>0</val>
          </value>
        </values>
      </ddeItem>
      <ddeItem name="ai[98].HH.EN" advise="1">
        <values>
          <value>
            <val>0</val>
          </value>
        </values>
      </ddeItem>
      <ddeItem name="ai[98].HH.fix" advise="1">
        <values>
          <value>
            <val>0</val>
          </value>
        </values>
      </ddeItem>
      <ddeItem name="ai[98].HH.V" advise="1">
        <values>
          <value>
            <val>0</val>
          </value>
        </values>
      </ddeItem>
      <ddeItem name="ai[98].i" advise="1">
        <values>
          <value>
            <val>4.397392E-3</val>
          </value>
        </values>
      </ddeItem>
      <ddeItem name="ai[98].isCorrect" advise="1">
        <values>
          <value>
            <val>0</val>
          </value>
        </values>
      </ddeItem>
      <ddeItem name="ai[98].isCut" advise="1"/>
      <ddeItem name="ai[98].isForce" advise="1">
        <values>
          <value>
            <val>0</val>
          </value>
        </values>
      </ddeItem>
      <ddeItem name="ai[98].isInvScale" advise="1">
        <values>
          <value>
            <val>0</val>
          </value>
        </values>
      </ddeItem>
      <ddeItem name="ai[98].L.EN" advise="1">
        <values>
          <value>
            <val>0</val>
          </value>
        </values>
      </ddeItem>
      <ddeItem name="ai[98].L.fix" advise="1">
        <values>
          <value>
            <val>0</val>
          </value>
        </values>
      </ddeItem>
      <ddeItem name="ai[98].L.V" advise="1">
        <values>
          <value>
            <val>0</val>
          </value>
        </values>
      </ddeItem>
      <ddeItem name="ai[98].LL.EN" advise="1">
        <values>
          <value>
            <val>0</val>
          </value>
        </values>
      </ddeItem>
      <ddeItem name="ai[98].LL.fix" advise="1">
        <values>
          <value>
            <val>0</val>
          </value>
        </values>
      </ddeItem>
      <ddeItem name="ai[98].LL.V" advise="1">
        <values>
          <value>
            <val>0</val>
          </value>
        </values>
      </ddeItem>
      <ddeItem name="ai[98].RH.EN" advise="1">
        <values>
          <value>
            <val>1</val>
          </value>
        </values>
      </ddeItem>
      <ddeItem name="ai[98].RH.fix" advise="1">
        <values>
          <value>
            <val>0</val>
          </value>
        </values>
      </ddeItem>
      <ddeItem name="ai[98].RH.V" advise="1">
        <values>
          <value>
            <val>100</val>
          </value>
        </values>
      </ddeItem>
      <ddeItem name="ai[98].RL.EN" advise="1">
        <values>
          <value>
            <val>1</val>
          </value>
        </values>
      </ddeItem>
      <ddeItem name="ai[98].RL.fix" advise="1">
        <values>
          <value>
            <val>0</val>
          </value>
        </values>
      </ddeItem>
      <ddeItem name="ai[98].RL.V" advise="1">
        <values>
          <value>
            <val>30</val>
          </value>
        </values>
      </ddeItem>
      <ddeItem name="ai[98].state" advise="1">
        <values>
          <value>
            <val>4</val>
          </value>
        </values>
      </ddeItem>
      <ddeItem name="ai[98].v" advise="1">
        <values>
          <value>
            <val>0</val>
          </value>
        </values>
      </ddeItem>
      <ddeItem name="ai[98].vCorrect" advise="1"/>
      <ddeItem name="ai[98].vCut" advise="1"/>
      <ddeItem name="ai[98].vRaw" advise="1"/>
      <ddeItem name="ai[98].ZH" advise="1">
        <values>
          <value>
            <val>400</val>
          </value>
        </values>
      </ddeItem>
      <ddeItem name="ai[98].ZL" advise="1">
        <values>
          <value>
            <val>0</val>
          </value>
        </values>
      </ddeItem>
      <ddeItem name="ai[99].break.sgn" advise="1">
        <values>
          <value>
            <val>0</val>
          </value>
        </values>
      </ddeItem>
      <ddeItem name="ai[99].EN" advise="1">
        <values>
          <value>
            <val>1</val>
          </value>
        </values>
      </ddeItem>
      <ddeItem name="ai[99].group" advise="1">
        <values>
          <value>
            <val>3</val>
          </value>
        </values>
      </ddeItem>
      <ddeItem name="ai[99].H.EN" advise="1">
        <values>
          <value>
            <val>1</val>
          </value>
        </values>
      </ddeItem>
      <ddeItem name="ai[99].H.fix" advise="1">
        <values>
          <value>
            <val>0</val>
          </value>
        </values>
      </ddeItem>
      <ddeItem name="ai[99].H.V" advise="1">
        <values>
          <value>
            <val>55</val>
          </value>
        </values>
      </ddeItem>
      <ddeItem name="ai[99].HH.EN" advise="1">
        <values>
          <value>
            <val>0</val>
          </value>
        </values>
      </ddeItem>
      <ddeItem name="ai[99].HH.fix" advise="1">
        <values>
          <value>
            <val>0</val>
          </value>
        </values>
      </ddeItem>
      <ddeItem name="ai[99].HH.V" advise="1">
        <values>
          <value>
            <val>0</val>
          </value>
        </values>
      </ddeItem>
      <ddeItem name="ai[99].i" advise="1">
        <values>
          <value>
            <val>4.0140690000000001</val>
          </value>
        </values>
      </ddeItem>
      <ddeItem name="ai[99].isCorrect" advise="1">
        <values>
          <value>
            <val>0</val>
          </value>
        </values>
      </ddeItem>
      <ddeItem name="ai[99].isCut" advise="1"/>
      <ddeItem name="ai[99].isForce" advise="1">
        <values>
          <value>
            <val>0</val>
          </value>
        </values>
      </ddeItem>
      <ddeItem name="ai[99].isInvScale" advise="1">
        <values>
          <value>
            <val>0</val>
          </value>
        </values>
      </ddeItem>
      <ddeItem name="ai[99].L.EN" advise="1">
        <values>
          <value>
            <val>1</val>
          </value>
        </values>
      </ddeItem>
      <ddeItem name="ai[99].L.fix" advise="1">
        <values>
          <value>
            <val>1</val>
          </value>
        </values>
      </ddeItem>
      <ddeItem name="ai[99].L.V" advise="1">
        <values>
          <value>
            <val>10</val>
          </value>
        </values>
      </ddeItem>
      <ddeItem name="ai[99].LL.EN" advise="1">
        <values>
          <value>
            <val>0</val>
          </value>
        </values>
      </ddeItem>
      <ddeItem name="ai[99].LL.fix" advise="1">
        <values>
          <value>
            <val>0</val>
          </value>
        </values>
      </ddeItem>
      <ddeItem name="ai[99].LL.V" advise="1">
        <values>
          <value>
            <val>0</val>
          </value>
        </values>
      </ddeItem>
      <ddeItem name="ai[99].RH.EN" advise="1">
        <values>
          <value>
            <val>1</val>
          </value>
        </values>
      </ddeItem>
      <ddeItem name="ai[99].RH.fix" advise="1">
        <values>
          <value>
            <val>0</val>
          </value>
        </values>
      </ddeItem>
      <ddeItem name="ai[99].RH.V" advise="1">
        <values>
          <value>
            <val>40</val>
          </value>
        </values>
      </ddeItem>
      <ddeItem name="ai[99].RL.EN" advise="1">
        <values>
          <value>
            <val>1</val>
          </value>
        </values>
      </ddeItem>
      <ddeItem name="ai[99].RL.fix" advise="1">
        <values>
          <value>
            <val>1</val>
          </value>
        </values>
      </ddeItem>
      <ddeItem name="ai[99].RL.V" advise="1">
        <values>
          <value>
            <val>15</val>
          </value>
        </values>
      </ddeItem>
      <ddeItem name="ai[99].state" advise="1">
        <values>
          <value>
            <val>2</val>
          </value>
        </values>
      </ddeItem>
      <ddeItem name="ai[99].v" advise="1">
        <values>
          <value>
            <val>0</val>
          </value>
        </values>
      </ddeItem>
      <ddeItem name="ai[99].vCorrect" advise="1"/>
      <ddeItem name="ai[99].vCut" advise="1"/>
      <ddeItem name="ai[99].vRaw" advise="1"/>
      <ddeItem name="ai[99].ZH" advise="1">
        <values>
          <value>
            <val>100</val>
          </value>
        </values>
      </ddeItem>
      <ddeItem name="ai[99].ZL" advise="1">
        <values>
          <value>
            <val>0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32"/>
  <sheetViews>
    <sheetView tabSelected="1" view="pageBreakPreview" topLeftCell="A220" zoomScaleNormal="100" zoomScaleSheetLayoutView="100" workbookViewId="0">
      <selection activeCell="T166" sqref="T166"/>
    </sheetView>
  </sheetViews>
  <sheetFormatPr defaultColWidth="9.140625" defaultRowHeight="15.75" customHeight="1"/>
  <cols>
    <col min="1" max="2" width="2.7109375" style="1" customWidth="1"/>
    <col min="3" max="4" width="3.5703125" style="1" customWidth="1"/>
    <col min="5" max="5" width="10" style="4" customWidth="1"/>
    <col min="6" max="6" width="49" style="4" customWidth="1"/>
    <col min="7" max="7" width="4.28515625" style="2" customWidth="1"/>
    <col min="8" max="8" width="5.140625" style="2" customWidth="1"/>
    <col min="9" max="9" width="5.7109375" style="2" customWidth="1"/>
    <col min="10" max="10" width="5.5703125" style="2" customWidth="1"/>
    <col min="11" max="11" width="5.7109375" style="2" customWidth="1"/>
    <col min="12" max="12" width="4.7109375" style="2" customWidth="1"/>
    <col min="13" max="13" width="4.85546875" style="2" customWidth="1"/>
    <col min="14" max="15" width="5" style="2" customWidth="1"/>
    <col min="16" max="16" width="5.140625" style="2" customWidth="1"/>
    <col min="17" max="17" width="5" style="2" customWidth="1"/>
    <col min="18" max="19" width="17.42578125" style="1" customWidth="1"/>
    <col min="20" max="16384" width="9.140625" style="1"/>
  </cols>
  <sheetData>
    <row r="1" spans="1:20" ht="13.5" customHeight="1" thickBot="1">
      <c r="A1" s="373" t="s">
        <v>29</v>
      </c>
      <c r="B1" s="373"/>
      <c r="C1" s="373"/>
      <c r="D1" s="373"/>
      <c r="E1" s="373"/>
      <c r="F1" s="373"/>
      <c r="G1" s="373"/>
      <c r="H1" s="373"/>
      <c r="I1" s="373"/>
      <c r="J1" s="373"/>
      <c r="K1" s="373"/>
      <c r="L1" s="373"/>
      <c r="M1" s="373"/>
      <c r="N1" s="373"/>
      <c r="O1" s="373"/>
      <c r="P1" s="373"/>
      <c r="Q1" s="373"/>
    </row>
    <row r="2" spans="1:20" s="168" customFormat="1" ht="21.75" customHeight="1" thickBot="1">
      <c r="A2" s="374" t="s">
        <v>0</v>
      </c>
      <c r="B2" s="374"/>
      <c r="C2" s="376" t="s">
        <v>1</v>
      </c>
      <c r="D2" s="378" t="s">
        <v>28</v>
      </c>
      <c r="E2" s="374" t="s">
        <v>2</v>
      </c>
      <c r="F2" s="387" t="s">
        <v>33</v>
      </c>
      <c r="G2" s="383" t="s">
        <v>11</v>
      </c>
      <c r="H2" s="384"/>
      <c r="I2" s="380" t="s">
        <v>30</v>
      </c>
      <c r="J2" s="382" t="s">
        <v>3</v>
      </c>
      <c r="K2" s="382"/>
      <c r="L2" s="382" t="s">
        <v>9</v>
      </c>
      <c r="M2" s="382"/>
      <c r="N2" s="382" t="s">
        <v>10</v>
      </c>
      <c r="O2" s="382"/>
      <c r="P2" s="382" t="s">
        <v>4</v>
      </c>
      <c r="Q2" s="382"/>
      <c r="R2" s="387" t="s">
        <v>12</v>
      </c>
    </row>
    <row r="3" spans="1:20" s="169" customFormat="1" ht="15.75" customHeight="1" thickBot="1">
      <c r="A3" s="375"/>
      <c r="B3" s="375"/>
      <c r="C3" s="377"/>
      <c r="D3" s="379"/>
      <c r="E3" s="375"/>
      <c r="F3" s="388"/>
      <c r="G3" s="179" t="s">
        <v>5</v>
      </c>
      <c r="H3" s="180" t="s">
        <v>6</v>
      </c>
      <c r="I3" s="381"/>
      <c r="J3" s="179" t="s">
        <v>5</v>
      </c>
      <c r="K3" s="180" t="s">
        <v>6</v>
      </c>
      <c r="L3" s="179" t="s">
        <v>5</v>
      </c>
      <c r="M3" s="180" t="s">
        <v>6</v>
      </c>
      <c r="N3" s="179" t="s">
        <v>5</v>
      </c>
      <c r="O3" s="180" t="s">
        <v>6</v>
      </c>
      <c r="P3" s="179" t="s">
        <v>7</v>
      </c>
      <c r="Q3" s="180" t="s">
        <v>8</v>
      </c>
      <c r="R3" s="388"/>
      <c r="S3" s="168"/>
    </row>
    <row r="4" spans="1:20" s="3" customFormat="1" ht="11.1" customHeight="1">
      <c r="A4" s="400" t="s">
        <v>36</v>
      </c>
      <c r="B4" s="403">
        <v>3</v>
      </c>
      <c r="C4" s="24">
        <v>0</v>
      </c>
      <c r="D4" s="24">
        <v>0</v>
      </c>
      <c r="E4" s="82" t="s">
        <v>99</v>
      </c>
      <c r="F4" s="26" t="s">
        <v>45</v>
      </c>
      <c r="G4" s="50">
        <v>0</v>
      </c>
      <c r="H4" s="55">
        <v>100</v>
      </c>
      <c r="I4" s="27" t="s">
        <v>46</v>
      </c>
      <c r="J4" s="50">
        <v>30</v>
      </c>
      <c r="K4" s="59">
        <v>50</v>
      </c>
      <c r="L4" s="50"/>
      <c r="M4" s="59"/>
      <c r="N4" s="28"/>
      <c r="O4" s="59"/>
      <c r="P4" s="29"/>
      <c r="Q4" s="35"/>
      <c r="R4" s="24"/>
      <c r="T4" s="295" t="str">
        <f t="shared" ref="T4:T12" si="0">"INSERT INTO `mpt2`.`Messages` (`PlcID`, `MessageNum`, `MessageText`) VALUES ('10203', '"&amp;D4&amp;"', '"&amp;E4&amp;" - "&amp;F4&amp;"');"</f>
        <v>INSERT INTO `mpt2`.`Messages` (`PlcID`, `MessageNum`, `MessageText`) VALUES ('10203', '0', '41 PRC-4 - Давление в ресивере V-1');</v>
      </c>
    </row>
    <row r="5" spans="1:20" s="3" customFormat="1" ht="11.1" customHeight="1">
      <c r="A5" s="401"/>
      <c r="B5" s="404"/>
      <c r="C5" s="6">
        <v>1</v>
      </c>
      <c r="D5" s="6">
        <v>1</v>
      </c>
      <c r="E5" s="69" t="s">
        <v>100</v>
      </c>
      <c r="F5" s="10" t="s">
        <v>47</v>
      </c>
      <c r="G5" s="51">
        <v>0</v>
      </c>
      <c r="H5" s="56">
        <v>60</v>
      </c>
      <c r="I5" s="11" t="s">
        <v>48</v>
      </c>
      <c r="J5" s="51">
        <v>18</v>
      </c>
      <c r="K5" s="60">
        <v>25</v>
      </c>
      <c r="L5" s="51"/>
      <c r="M5" s="60"/>
      <c r="N5" s="13"/>
      <c r="O5" s="60"/>
      <c r="P5" s="22"/>
      <c r="Q5" s="36"/>
      <c r="R5" s="6"/>
      <c r="T5" s="295" t="str">
        <f t="shared" si="0"/>
        <v>INSERT INTO `mpt2`.`Messages` (`PlcID`, `MessageNum`, `MessageText`) VALUES ('10203', '1', '41 PR-45 - Давление в отделителе высокого давления V-8');</v>
      </c>
    </row>
    <row r="6" spans="1:20" s="3" customFormat="1" ht="11.1" customHeight="1">
      <c r="A6" s="401"/>
      <c r="B6" s="404"/>
      <c r="C6" s="6">
        <v>2</v>
      </c>
      <c r="D6" s="24">
        <v>2</v>
      </c>
      <c r="E6" s="69" t="s">
        <v>101</v>
      </c>
      <c r="F6" s="10" t="s">
        <v>49</v>
      </c>
      <c r="G6" s="51">
        <v>0</v>
      </c>
      <c r="H6" s="56">
        <v>400</v>
      </c>
      <c r="I6" s="11" t="s">
        <v>46</v>
      </c>
      <c r="J6" s="51">
        <v>30</v>
      </c>
      <c r="K6" s="60">
        <v>100</v>
      </c>
      <c r="L6" s="51"/>
      <c r="M6" s="60"/>
      <c r="N6" s="13"/>
      <c r="O6" s="60"/>
      <c r="P6" s="22"/>
      <c r="Q6" s="36"/>
      <c r="R6" s="6" t="s">
        <v>50</v>
      </c>
      <c r="T6" s="295" t="str">
        <f t="shared" si="0"/>
        <v>INSERT INTO `mpt2`.`Messages` (`PlcID`, `MessageNum`, `MessageText`) VALUES ('10203', '2', '41 PR-46 - Давление в отделителе низкого давления V-9');</v>
      </c>
    </row>
    <row r="7" spans="1:20" s="3" customFormat="1" ht="11.1" customHeight="1">
      <c r="A7" s="401"/>
      <c r="B7" s="404"/>
      <c r="C7" s="6">
        <v>3</v>
      </c>
      <c r="D7" s="6">
        <v>3</v>
      </c>
      <c r="E7" s="10" t="s">
        <v>102</v>
      </c>
      <c r="F7" s="10" t="s">
        <v>53</v>
      </c>
      <c r="G7" s="51">
        <v>0</v>
      </c>
      <c r="H7" s="56">
        <v>100</v>
      </c>
      <c r="I7" s="11" t="s">
        <v>52</v>
      </c>
      <c r="J7" s="51">
        <v>15</v>
      </c>
      <c r="K7" s="60">
        <v>40</v>
      </c>
      <c r="L7" s="51">
        <v>10</v>
      </c>
      <c r="M7" s="60">
        <v>55</v>
      </c>
      <c r="N7" s="13"/>
      <c r="O7" s="60"/>
      <c r="P7" s="22"/>
      <c r="Q7" s="36"/>
      <c r="R7" s="6" t="s">
        <v>54</v>
      </c>
      <c r="T7" s="295" t="str">
        <f t="shared" si="0"/>
        <v>INSERT INTO `mpt2`.`Messages` (`PlcID`, `MessageNum`, `MessageText`) VALUES ('10203', '3', '41 LRCA-4 - Уровень п/э в отделителе выкого давления V-8');</v>
      </c>
    </row>
    <row r="8" spans="1:20" s="3" customFormat="1" ht="11.1" customHeight="1">
      <c r="A8" s="401"/>
      <c r="B8" s="404"/>
      <c r="C8" s="6">
        <v>4</v>
      </c>
      <c r="D8" s="24">
        <v>4</v>
      </c>
      <c r="E8" s="10" t="s">
        <v>103</v>
      </c>
      <c r="F8" s="10" t="s">
        <v>51</v>
      </c>
      <c r="G8" s="51">
        <v>0</v>
      </c>
      <c r="H8" s="56">
        <v>100</v>
      </c>
      <c r="I8" s="11" t="s">
        <v>52</v>
      </c>
      <c r="J8" s="51">
        <v>10</v>
      </c>
      <c r="K8" s="60">
        <v>60</v>
      </c>
      <c r="L8" s="51">
        <v>10</v>
      </c>
      <c r="M8" s="60">
        <v>60</v>
      </c>
      <c r="N8" s="13"/>
      <c r="O8" s="60"/>
      <c r="P8" s="22"/>
      <c r="Q8" s="36"/>
      <c r="R8" s="6" t="s">
        <v>54</v>
      </c>
      <c r="T8" s="295" t="str">
        <f t="shared" si="0"/>
        <v>INSERT INTO `mpt2`.`Messages` (`PlcID`, `MessageNum`, `MessageText`) VALUES ('10203', '4', '41 LRA-6 - Уровень п/э в отделителе низкого давления V-9');</v>
      </c>
    </row>
    <row r="9" spans="1:20" s="3" customFormat="1" ht="11.1" customHeight="1">
      <c r="A9" s="401"/>
      <c r="B9" s="404"/>
      <c r="C9" s="6">
        <v>5</v>
      </c>
      <c r="D9" s="6">
        <v>5</v>
      </c>
      <c r="E9" s="69" t="s">
        <v>104</v>
      </c>
      <c r="F9" s="10" t="s">
        <v>55</v>
      </c>
      <c r="G9" s="51">
        <v>0</v>
      </c>
      <c r="H9" s="56">
        <v>75</v>
      </c>
      <c r="I9" s="11" t="s">
        <v>56</v>
      </c>
      <c r="J9" s="51">
        <v>27</v>
      </c>
      <c r="K9" s="60">
        <v>60</v>
      </c>
      <c r="L9" s="51"/>
      <c r="M9" s="60"/>
      <c r="N9" s="13"/>
      <c r="O9" s="60"/>
      <c r="P9" s="22"/>
      <c r="Q9" s="36"/>
      <c r="R9" s="6"/>
      <c r="T9" s="295" t="str">
        <f t="shared" si="0"/>
        <v>INSERT INTO `mpt2`.`Messages` (`PlcID`, `MessageNum`, `MessageText`) VALUES ('10203', '5', '41 FR-13 - Расход конденсата к режущему устройству Z-1');</v>
      </c>
    </row>
    <row r="10" spans="1:20" s="3" customFormat="1" ht="11.1" customHeight="1">
      <c r="A10" s="401"/>
      <c r="B10" s="404"/>
      <c r="C10" s="6">
        <v>6</v>
      </c>
      <c r="D10" s="24">
        <v>6</v>
      </c>
      <c r="E10" s="69" t="s">
        <v>105</v>
      </c>
      <c r="F10" s="10" t="s">
        <v>58</v>
      </c>
      <c r="G10" s="51">
        <v>0</v>
      </c>
      <c r="H10" s="56">
        <v>2000</v>
      </c>
      <c r="I10" s="11" t="s">
        <v>57</v>
      </c>
      <c r="J10" s="51">
        <v>0</v>
      </c>
      <c r="K10" s="60">
        <v>1630</v>
      </c>
      <c r="L10" s="51"/>
      <c r="M10" s="60"/>
      <c r="N10" s="13"/>
      <c r="O10" s="60"/>
      <c r="P10" s="22"/>
      <c r="Q10" s="36"/>
      <c r="R10" s="6"/>
      <c r="T10" s="295" t="str">
        <f t="shared" si="0"/>
        <v>INSERT INTO `mpt2`.`Messages` (`PlcID`, `MessageNum`, `MessageText`) VALUES ('10203', '6', '41 FR-5 - Расход возвратного газа из С-1 в рессивер V-2');</v>
      </c>
    </row>
    <row r="11" spans="1:20" s="3" customFormat="1" ht="11.1" customHeight="1">
      <c r="A11" s="401"/>
      <c r="B11" s="404"/>
      <c r="C11" s="6">
        <v>7</v>
      </c>
      <c r="D11" s="6">
        <v>7</v>
      </c>
      <c r="E11" s="69" t="s">
        <v>106</v>
      </c>
      <c r="F11" s="10" t="s">
        <v>93</v>
      </c>
      <c r="G11" s="51">
        <v>0</v>
      </c>
      <c r="H11" s="56">
        <v>300</v>
      </c>
      <c r="I11" s="11" t="s">
        <v>61</v>
      </c>
      <c r="J11" s="51">
        <v>0</v>
      </c>
      <c r="K11" s="60">
        <v>240</v>
      </c>
      <c r="L11" s="51"/>
      <c r="M11" s="60">
        <v>170</v>
      </c>
      <c r="N11" s="13"/>
      <c r="O11" s="60">
        <v>240</v>
      </c>
      <c r="P11" s="22"/>
      <c r="Q11" s="36"/>
      <c r="R11" s="6"/>
      <c r="T11" s="295" t="str">
        <f t="shared" si="0"/>
        <v>INSERT INTO `mpt2`.`Messages` (`PlcID`, `MessageNum`, `MessageText`) VALUES ('10203', '7', '41 TRCSA-5 - Температура стенки реактора V-7');</v>
      </c>
    </row>
    <row r="12" spans="1:20" s="3" customFormat="1" ht="11.1" customHeight="1">
      <c r="A12" s="401"/>
      <c r="B12" s="404"/>
      <c r="C12" s="6">
        <v>8</v>
      </c>
      <c r="D12" s="24">
        <v>8</v>
      </c>
      <c r="E12" s="10" t="s">
        <v>107</v>
      </c>
      <c r="F12" s="10" t="s">
        <v>62</v>
      </c>
      <c r="G12" s="51">
        <v>0</v>
      </c>
      <c r="H12" s="56">
        <v>300</v>
      </c>
      <c r="I12" s="11" t="s">
        <v>61</v>
      </c>
      <c r="J12" s="51">
        <v>130</v>
      </c>
      <c r="K12" s="60">
        <v>280</v>
      </c>
      <c r="L12" s="51"/>
      <c r="M12" s="60"/>
      <c r="N12" s="13"/>
      <c r="O12" s="60"/>
      <c r="P12" s="22"/>
      <c r="Q12" s="36"/>
      <c r="R12" s="6"/>
      <c r="T12" s="295" t="str">
        <f t="shared" si="0"/>
        <v>INSERT INTO `mpt2`.`Messages` (`PlcID`, `MessageNum`, `MessageText`) VALUES ('10203', '8', '41 TRC-6 - Температура на выходе из продуктового холодильника E-10');</v>
      </c>
    </row>
    <row r="13" spans="1:20" s="3" customFormat="1" ht="10.9" customHeight="1">
      <c r="A13" s="401"/>
      <c r="B13" s="404"/>
      <c r="C13" s="336">
        <v>9</v>
      </c>
      <c r="D13" s="336">
        <v>9</v>
      </c>
      <c r="E13" s="385" t="s">
        <v>108</v>
      </c>
      <c r="F13" s="10" t="s">
        <v>279</v>
      </c>
      <c r="G13" s="393">
        <v>0</v>
      </c>
      <c r="H13" s="395">
        <v>200</v>
      </c>
      <c r="I13" s="385" t="s">
        <v>63</v>
      </c>
      <c r="J13" s="51">
        <v>125</v>
      </c>
      <c r="K13" s="60">
        <v>145</v>
      </c>
      <c r="L13" s="51"/>
      <c r="M13" s="60">
        <v>146</v>
      </c>
      <c r="N13" s="13"/>
      <c r="O13" s="60"/>
      <c r="P13" s="22"/>
      <c r="Q13" s="36"/>
      <c r="R13" s="6" t="s">
        <v>285</v>
      </c>
      <c r="T13" s="296" t="str">
        <f>"INSERT INTO `mpt2`.`Messages` (`PlcID`, `MessageNum`, `MessageText`) VALUES ('10203', '"&amp;D13&amp;"', '"&amp;E13&amp;" - "&amp;"Давление в реакторе V-7"&amp;"');"</f>
        <v>INSERT INTO `mpt2`.`Messages` (`PlcID`, `MessageNum`, `MessageText`) VALUES ('10203', '9', '41 PRA-43 - Давление в реакторе V-7');</v>
      </c>
    </row>
    <row r="14" spans="1:20" s="3" customFormat="1" ht="10.9" customHeight="1">
      <c r="A14" s="401"/>
      <c r="B14" s="404"/>
      <c r="C14" s="337"/>
      <c r="D14" s="337"/>
      <c r="E14" s="386"/>
      <c r="F14" s="10" t="s">
        <v>280</v>
      </c>
      <c r="G14" s="394"/>
      <c r="H14" s="396"/>
      <c r="I14" s="386"/>
      <c r="J14" s="51">
        <v>115</v>
      </c>
      <c r="K14" s="60">
        <v>135</v>
      </c>
      <c r="L14" s="51"/>
      <c r="M14" s="60">
        <v>136</v>
      </c>
      <c r="N14" s="13"/>
      <c r="O14" s="60"/>
      <c r="P14" s="22"/>
      <c r="Q14" s="36"/>
      <c r="R14" s="6" t="s">
        <v>286</v>
      </c>
    </row>
    <row r="15" spans="1:20" s="3" customFormat="1" ht="10.9" customHeight="1">
      <c r="A15" s="401"/>
      <c r="B15" s="404"/>
      <c r="C15" s="337"/>
      <c r="D15" s="337"/>
      <c r="E15" s="386"/>
      <c r="F15" s="10" t="s">
        <v>281</v>
      </c>
      <c r="G15" s="394"/>
      <c r="H15" s="396"/>
      <c r="I15" s="386"/>
      <c r="J15" s="51">
        <v>140</v>
      </c>
      <c r="K15" s="60">
        <v>155</v>
      </c>
      <c r="L15" s="51"/>
      <c r="M15" s="60">
        <v>156</v>
      </c>
      <c r="N15" s="13"/>
      <c r="O15" s="60"/>
      <c r="P15" s="22"/>
      <c r="Q15" s="36"/>
      <c r="R15" s="6" t="s">
        <v>287</v>
      </c>
    </row>
    <row r="16" spans="1:20" s="3" customFormat="1" ht="10.9" customHeight="1">
      <c r="A16" s="401"/>
      <c r="B16" s="404"/>
      <c r="C16" s="337"/>
      <c r="D16" s="337"/>
      <c r="E16" s="386"/>
      <c r="F16" s="10" t="s">
        <v>282</v>
      </c>
      <c r="G16" s="394"/>
      <c r="H16" s="396"/>
      <c r="I16" s="386"/>
      <c r="J16" s="51">
        <v>125</v>
      </c>
      <c r="K16" s="60">
        <v>150</v>
      </c>
      <c r="L16" s="51"/>
      <c r="M16" s="60">
        <v>151</v>
      </c>
      <c r="N16" s="13"/>
      <c r="O16" s="60"/>
      <c r="P16" s="22"/>
      <c r="Q16" s="36"/>
      <c r="R16" s="6" t="s">
        <v>288</v>
      </c>
    </row>
    <row r="17" spans="1:20" s="3" customFormat="1" ht="10.9" customHeight="1">
      <c r="A17" s="401"/>
      <c r="B17" s="404"/>
      <c r="C17" s="337"/>
      <c r="D17" s="337"/>
      <c r="E17" s="386"/>
      <c r="F17" s="10" t="s">
        <v>283</v>
      </c>
      <c r="G17" s="394"/>
      <c r="H17" s="396"/>
      <c r="I17" s="386"/>
      <c r="J17" s="51">
        <v>122.5</v>
      </c>
      <c r="K17" s="60">
        <v>147.5</v>
      </c>
      <c r="L17" s="51"/>
      <c r="M17" s="60">
        <v>148.5</v>
      </c>
      <c r="N17" s="13"/>
      <c r="O17" s="60"/>
      <c r="P17" s="22"/>
      <c r="Q17" s="36"/>
      <c r="R17" s="6" t="s">
        <v>289</v>
      </c>
    </row>
    <row r="18" spans="1:20" s="3" customFormat="1" ht="10.9" customHeight="1">
      <c r="A18" s="401"/>
      <c r="B18" s="404"/>
      <c r="C18" s="337"/>
      <c r="D18" s="337"/>
      <c r="E18" s="386"/>
      <c r="F18" s="327" t="s">
        <v>473</v>
      </c>
      <c r="G18" s="394"/>
      <c r="H18" s="396"/>
      <c r="I18" s="386"/>
      <c r="J18" s="321">
        <v>115</v>
      </c>
      <c r="K18" s="322">
        <v>145</v>
      </c>
      <c r="L18" s="321"/>
      <c r="M18" s="322">
        <v>147</v>
      </c>
      <c r="N18" s="323"/>
      <c r="O18" s="322"/>
      <c r="P18" s="324"/>
      <c r="Q18" s="325"/>
      <c r="R18" s="326" t="s">
        <v>443</v>
      </c>
    </row>
    <row r="19" spans="1:20" s="3" customFormat="1" ht="10.9" customHeight="1">
      <c r="A19" s="401"/>
      <c r="B19" s="404"/>
      <c r="C19" s="337"/>
      <c r="D19" s="349"/>
      <c r="E19" s="386"/>
      <c r="F19" s="10" t="s">
        <v>284</v>
      </c>
      <c r="G19" s="394"/>
      <c r="H19" s="396"/>
      <c r="I19" s="386"/>
      <c r="J19" s="51">
        <v>138</v>
      </c>
      <c r="K19" s="60">
        <v>155</v>
      </c>
      <c r="L19" s="51"/>
      <c r="M19" s="60">
        <v>156</v>
      </c>
      <c r="N19" s="13"/>
      <c r="O19" s="60"/>
      <c r="P19" s="22"/>
      <c r="Q19" s="36"/>
      <c r="R19" s="6" t="s">
        <v>290</v>
      </c>
    </row>
    <row r="20" spans="1:20" s="3" customFormat="1" ht="11.1" customHeight="1">
      <c r="A20" s="401"/>
      <c r="B20" s="404"/>
      <c r="C20" s="6">
        <v>10</v>
      </c>
      <c r="D20" s="24">
        <v>10</v>
      </c>
      <c r="E20" s="191" t="s">
        <v>109</v>
      </c>
      <c r="F20" s="191" t="s">
        <v>64</v>
      </c>
      <c r="G20" s="51">
        <v>0</v>
      </c>
      <c r="H20" s="30">
        <v>350</v>
      </c>
      <c r="I20" s="11" t="s">
        <v>65</v>
      </c>
      <c r="J20" s="51">
        <v>32</v>
      </c>
      <c r="K20" s="60">
        <v>320</v>
      </c>
      <c r="L20" s="51"/>
      <c r="M20" s="60"/>
      <c r="N20" s="13"/>
      <c r="O20" s="60"/>
      <c r="P20" s="22"/>
      <c r="Q20" s="36"/>
      <c r="R20" s="6"/>
      <c r="T20" s="295" t="str">
        <f>"INSERT INTO `mpt2`.`Messages` (`PlcID`, `MessageNum`, `MessageText`) VALUES ('10203', '"&amp;D20&amp;"', '"&amp;E20&amp;" - "&amp;F20&amp;"');"</f>
        <v>INSERT INTO `mpt2`.`Messages` (`PlcID`, `MessageNum`, `MessageText`) VALUES ('10203', '10', '41 SR -1 - Число оборотов компрессора C-2');</v>
      </c>
    </row>
    <row r="21" spans="1:20" s="3" customFormat="1" ht="11.1" customHeight="1">
      <c r="A21" s="401"/>
      <c r="B21" s="404"/>
      <c r="C21" s="6">
        <v>11</v>
      </c>
      <c r="D21" s="6">
        <v>11</v>
      </c>
      <c r="E21" s="192" t="s">
        <v>110</v>
      </c>
      <c r="F21" s="191" t="s">
        <v>66</v>
      </c>
      <c r="G21" s="51">
        <v>0</v>
      </c>
      <c r="H21" s="30">
        <v>350</v>
      </c>
      <c r="I21" s="11" t="s">
        <v>65</v>
      </c>
      <c r="J21" s="51">
        <v>32</v>
      </c>
      <c r="K21" s="60">
        <v>320</v>
      </c>
      <c r="L21" s="51"/>
      <c r="M21" s="60"/>
      <c r="N21" s="13"/>
      <c r="O21" s="60"/>
      <c r="P21" s="22"/>
      <c r="Q21" s="36"/>
      <c r="R21" s="6"/>
      <c r="T21" s="295" t="str">
        <f>"INSERT INTO `mpt2`.`Messages` (`PlcID`, `MessageNum`, `MessageText`) VALUES ('10203', '"&amp;D21&amp;"', '"&amp;E21&amp;" - "&amp;F21&amp;"');"</f>
        <v>INSERT INTO `mpt2`.`Messages` (`PlcID`, `MessageNum`, `MessageText`) VALUES ('10203', '11', '41 SR -2 - Число оборотов компрессора второго каскада C-3/2');</v>
      </c>
    </row>
    <row r="22" spans="1:20" s="3" customFormat="1" ht="11.1" customHeight="1">
      <c r="A22" s="401"/>
      <c r="B22" s="404"/>
      <c r="C22" s="6">
        <v>12</v>
      </c>
      <c r="D22" s="24">
        <v>12</v>
      </c>
      <c r="E22" s="69" t="s">
        <v>111</v>
      </c>
      <c r="F22" s="10" t="s">
        <v>68</v>
      </c>
      <c r="G22" s="51">
        <v>0</v>
      </c>
      <c r="H22" s="56">
        <v>25</v>
      </c>
      <c r="I22" s="11" t="s">
        <v>63</v>
      </c>
      <c r="J22" s="51">
        <v>5</v>
      </c>
      <c r="K22" s="60">
        <v>13</v>
      </c>
      <c r="L22" s="13"/>
      <c r="M22" s="60">
        <v>13</v>
      </c>
      <c r="N22" s="13"/>
      <c r="O22" s="60">
        <v>14</v>
      </c>
      <c r="P22" s="22"/>
      <c r="Q22" s="36"/>
      <c r="R22" s="6"/>
      <c r="T22" s="295" t="str">
        <f>"INSERT INTO `mpt2`.`Messages` (`PlcID`, `MessageNum`, `MessageText`) VALUES ('10203', '"&amp;D22&amp;"', '"&amp;E22&amp;" - "&amp;F22&amp;"');"</f>
        <v>INSERT INTO `mpt2`.`Messages` (`PlcID`, `MessageNum`, `MessageText`) VALUES ('10203', '12', '41 PRSA-84 - Давление нагнетания экструзионного насоса P-4');</v>
      </c>
    </row>
    <row r="23" spans="1:20" s="3" customFormat="1" ht="11.1" customHeight="1">
      <c r="A23" s="401"/>
      <c r="B23" s="404"/>
      <c r="C23" s="6">
        <v>13</v>
      </c>
      <c r="D23" s="6">
        <v>13</v>
      </c>
      <c r="E23" s="184" t="s">
        <v>322</v>
      </c>
      <c r="F23" s="185" t="s">
        <v>323</v>
      </c>
      <c r="G23" s="51">
        <v>0</v>
      </c>
      <c r="H23" s="56">
        <v>2</v>
      </c>
      <c r="I23" s="11" t="s">
        <v>63</v>
      </c>
      <c r="J23" s="83">
        <v>0.95</v>
      </c>
      <c r="K23" s="199">
        <v>1.05</v>
      </c>
      <c r="L23" s="83"/>
      <c r="M23" s="84"/>
      <c r="N23" s="13"/>
      <c r="O23" s="60"/>
      <c r="P23" s="22"/>
      <c r="Q23" s="36"/>
      <c r="R23" s="6"/>
      <c r="T23" s="295" t="str">
        <f>"INSERT INTO `mpt2`.`Messages` (`PlcID`, `MessageNum`, `MessageText`) VALUES ('10203', '"&amp;D23&amp;"', '"&amp;E23&amp;" - "&amp;F23&amp;"');"</f>
        <v>INSERT INTO `mpt2`.`Messages` (`PlcID`, `MessageNum`, `MessageText`) VALUES ('10203', '13', '41 PR-10 - Давление в ресивере V-2');</v>
      </c>
    </row>
    <row r="24" spans="1:20" s="3" customFormat="1" ht="10.9" customHeight="1">
      <c r="A24" s="401"/>
      <c r="B24" s="404"/>
      <c r="C24" s="6">
        <v>14</v>
      </c>
      <c r="D24" s="24">
        <v>14</v>
      </c>
      <c r="E24" s="241"/>
      <c r="F24" s="242" t="s">
        <v>432</v>
      </c>
      <c r="G24" s="51"/>
      <c r="H24" s="56"/>
      <c r="I24" s="11"/>
      <c r="J24" s="51"/>
      <c r="K24" s="56"/>
      <c r="L24" s="83"/>
      <c r="M24" s="84"/>
      <c r="N24" s="13"/>
      <c r="O24" s="60"/>
      <c r="P24" s="22"/>
      <c r="Q24" s="36"/>
      <c r="R24" s="6"/>
    </row>
    <row r="25" spans="1:20" s="3" customFormat="1" ht="10.9" customHeight="1" thickBot="1">
      <c r="A25" s="402"/>
      <c r="B25" s="405"/>
      <c r="C25" s="14">
        <v>15</v>
      </c>
      <c r="D25" s="14">
        <v>15</v>
      </c>
      <c r="E25" s="88"/>
      <c r="F25" s="15"/>
      <c r="G25" s="52"/>
      <c r="H25" s="57"/>
      <c r="I25" s="16"/>
      <c r="J25" s="52"/>
      <c r="K25" s="57"/>
      <c r="L25" s="85"/>
      <c r="M25" s="97"/>
      <c r="N25" s="18"/>
      <c r="O25" s="89"/>
      <c r="P25" s="23"/>
      <c r="Q25" s="37"/>
      <c r="R25" s="14"/>
    </row>
    <row r="26" spans="1:20" ht="11.1" customHeight="1" thickTop="1">
      <c r="A26" s="360" t="s">
        <v>36</v>
      </c>
      <c r="B26" s="363">
        <v>4</v>
      </c>
      <c r="C26" s="5">
        <v>0</v>
      </c>
      <c r="D26" s="24">
        <v>16</v>
      </c>
      <c r="E26" s="249" t="s">
        <v>112</v>
      </c>
      <c r="F26" s="26" t="s">
        <v>67</v>
      </c>
      <c r="G26" s="53">
        <v>-50</v>
      </c>
      <c r="H26" s="248">
        <v>100</v>
      </c>
      <c r="I26" s="27" t="s">
        <v>61</v>
      </c>
      <c r="J26" s="53">
        <v>5</v>
      </c>
      <c r="K26" s="59">
        <v>40</v>
      </c>
      <c r="L26" s="53"/>
      <c r="M26" s="59"/>
      <c r="N26" s="28"/>
      <c r="O26" s="96"/>
      <c r="P26" s="8"/>
      <c r="Q26" s="38"/>
      <c r="R26" s="25"/>
      <c r="T26" s="295" t="str">
        <f t="shared" ref="T26:T38" si="1">"INSERT INTO `mpt2`.`Messages` (`PlcID`, `MessageNum`, `MessageText`) VALUES ('10203', '"&amp;D26&amp;"', '"&amp;E26&amp;" - "&amp;F26&amp;"');"</f>
        <v>INSERT INTO `mpt2`.`Messages` (`PlcID`, `MessageNum`, `MessageText`) VALUES ('10203', '16', '41 TR 101/1 - Температура на входе в рессивер V-2');</v>
      </c>
    </row>
    <row r="27" spans="1:20" ht="11.1" customHeight="1">
      <c r="A27" s="361"/>
      <c r="B27" s="364"/>
      <c r="C27" s="6">
        <v>1</v>
      </c>
      <c r="D27" s="6">
        <v>17</v>
      </c>
      <c r="E27" s="245" t="s">
        <v>113</v>
      </c>
      <c r="F27" s="10" t="s">
        <v>69</v>
      </c>
      <c r="G27" s="51">
        <v>0</v>
      </c>
      <c r="H27" s="247">
        <v>200</v>
      </c>
      <c r="I27" s="11" t="s">
        <v>61</v>
      </c>
      <c r="J27" s="51">
        <v>30</v>
      </c>
      <c r="K27" s="60">
        <v>60</v>
      </c>
      <c r="L27" s="51"/>
      <c r="M27" s="60"/>
      <c r="N27" s="13"/>
      <c r="O27" s="31"/>
      <c r="P27" s="22"/>
      <c r="Q27" s="36"/>
      <c r="R27" s="12"/>
      <c r="T27" s="295" t="str">
        <f t="shared" si="1"/>
        <v>INSERT INTO `mpt2`.`Messages` (`PlcID`, `MessageNum`, `MessageText`) VALUES ('10203', '17', '41 TR 101/3 - Температура этилена на выходе из холодильников Е-7');</v>
      </c>
    </row>
    <row r="28" spans="1:20" ht="11.1" customHeight="1">
      <c r="A28" s="361"/>
      <c r="B28" s="364"/>
      <c r="C28" s="6">
        <v>2</v>
      </c>
      <c r="D28" s="24">
        <v>18</v>
      </c>
      <c r="E28" s="245" t="s">
        <v>114</v>
      </c>
      <c r="F28" s="10" t="s">
        <v>70</v>
      </c>
      <c r="G28" s="51">
        <v>0</v>
      </c>
      <c r="H28" s="247">
        <v>200</v>
      </c>
      <c r="I28" s="11" t="s">
        <v>61</v>
      </c>
      <c r="J28" s="51">
        <v>30</v>
      </c>
      <c r="K28" s="60">
        <v>50</v>
      </c>
      <c r="L28" s="51"/>
      <c r="M28" s="60"/>
      <c r="N28" s="13"/>
      <c r="O28" s="31"/>
      <c r="P28" s="13"/>
      <c r="Q28" s="36"/>
      <c r="R28" s="12"/>
      <c r="T28" s="295" t="str">
        <f t="shared" si="1"/>
        <v>INSERT INTO `mpt2`.`Messages` (`PlcID`, `MessageNum`, `MessageText`) VALUES ('10203', '18', '41 TR 101/4 - Температура на выходе из смесительной ёмкости V-5');</v>
      </c>
    </row>
    <row r="29" spans="1:20" ht="11.1" customHeight="1">
      <c r="A29" s="361"/>
      <c r="B29" s="364"/>
      <c r="C29" s="6">
        <v>3</v>
      </c>
      <c r="D29" s="6">
        <v>19</v>
      </c>
      <c r="E29" s="245" t="s">
        <v>115</v>
      </c>
      <c r="F29" s="10" t="s">
        <v>71</v>
      </c>
      <c r="G29" s="51">
        <v>0</v>
      </c>
      <c r="H29" s="247">
        <v>200</v>
      </c>
      <c r="I29" s="11" t="s">
        <v>61</v>
      </c>
      <c r="J29" s="51">
        <v>20</v>
      </c>
      <c r="K29" s="63">
        <v>80</v>
      </c>
      <c r="L29" s="51"/>
      <c r="M29" s="63"/>
      <c r="N29" s="13"/>
      <c r="O29" s="92"/>
      <c r="P29" s="13"/>
      <c r="Q29" s="36"/>
      <c r="R29" s="12"/>
      <c r="T29" s="295" t="str">
        <f t="shared" si="1"/>
        <v>INSERT INTO `mpt2`.`Messages` (`PlcID`, `MessageNum`, `MessageText`) VALUES ('10203', '19', '41 TR 101/5 - Температура газа на входе в верхнюю часть реактора V-7 от С -3/1');</v>
      </c>
    </row>
    <row r="30" spans="1:20" ht="11.1" customHeight="1">
      <c r="A30" s="361"/>
      <c r="B30" s="364"/>
      <c r="C30" s="6">
        <v>4</v>
      </c>
      <c r="D30" s="24">
        <v>20</v>
      </c>
      <c r="E30" s="245" t="s">
        <v>116</v>
      </c>
      <c r="F30" s="10" t="s">
        <v>72</v>
      </c>
      <c r="G30" s="51">
        <v>0</v>
      </c>
      <c r="H30" s="247">
        <v>200</v>
      </c>
      <c r="I30" s="11" t="s">
        <v>61</v>
      </c>
      <c r="J30" s="51">
        <v>20</v>
      </c>
      <c r="K30" s="60">
        <v>80</v>
      </c>
      <c r="L30" s="83"/>
      <c r="M30" s="84"/>
      <c r="N30" s="13"/>
      <c r="O30" s="92"/>
      <c r="P30" s="13"/>
      <c r="Q30" s="36"/>
      <c r="R30" s="12"/>
      <c r="T30" s="295" t="str">
        <f t="shared" si="1"/>
        <v>INSERT INTO `mpt2`.`Messages` (`PlcID`, `MessageNum`, `MessageText`) VALUES ('10203', '20', '41 TR 101/6 - Температура газа на входе в верхнюю часть реактора V-7 от С -3/2');</v>
      </c>
    </row>
    <row r="31" spans="1:20" ht="11.1" customHeight="1">
      <c r="A31" s="361"/>
      <c r="B31" s="364"/>
      <c r="C31" s="6">
        <v>5</v>
      </c>
      <c r="D31" s="6">
        <v>21</v>
      </c>
      <c r="E31" s="245" t="s">
        <v>117</v>
      </c>
      <c r="F31" s="10" t="s">
        <v>73</v>
      </c>
      <c r="G31" s="51">
        <v>0</v>
      </c>
      <c r="H31" s="247">
        <v>200</v>
      </c>
      <c r="I31" s="11" t="s">
        <v>61</v>
      </c>
      <c r="J31" s="51">
        <v>20</v>
      </c>
      <c r="K31" s="63">
        <v>80</v>
      </c>
      <c r="L31" s="83"/>
      <c r="M31" s="84"/>
      <c r="N31" s="13"/>
      <c r="O31" s="31"/>
      <c r="P31" s="13"/>
      <c r="Q31" s="36"/>
      <c r="R31" s="12"/>
      <c r="T31" s="295" t="str">
        <f t="shared" si="1"/>
        <v>INSERT INTO `mpt2`.`Messages` (`PlcID`, `MessageNum`, `MessageText`) VALUES ('10203', '21', '41 TR 101/7 - Температура газа на входе в нижнюю часть реактора V-7 от С -3/1');</v>
      </c>
    </row>
    <row r="32" spans="1:20" ht="11.1" customHeight="1">
      <c r="A32" s="361"/>
      <c r="B32" s="364"/>
      <c r="C32" s="6">
        <v>6</v>
      </c>
      <c r="D32" s="24">
        <v>22</v>
      </c>
      <c r="E32" s="245" t="s">
        <v>118</v>
      </c>
      <c r="F32" s="10" t="s">
        <v>74</v>
      </c>
      <c r="G32" s="51">
        <v>0</v>
      </c>
      <c r="H32" s="247">
        <v>200</v>
      </c>
      <c r="I32" s="11" t="s">
        <v>61</v>
      </c>
      <c r="J32" s="53">
        <v>20</v>
      </c>
      <c r="K32" s="59">
        <v>80</v>
      </c>
      <c r="L32" s="83"/>
      <c r="M32" s="84"/>
      <c r="N32" s="13"/>
      <c r="O32" s="31"/>
      <c r="P32" s="13"/>
      <c r="Q32" s="36"/>
      <c r="R32" s="12"/>
      <c r="T32" s="295" t="str">
        <f t="shared" si="1"/>
        <v>INSERT INTO `mpt2`.`Messages` (`PlcID`, `MessageNum`, `MessageText`) VALUES ('10203', '22', '41 TR 101/8 - Температура газа на входе в нижнюю часть реактора V-7 от С -3/2');</v>
      </c>
    </row>
    <row r="33" spans="1:20" ht="11.1" customHeight="1">
      <c r="A33" s="361"/>
      <c r="B33" s="364"/>
      <c r="C33" s="6">
        <v>7</v>
      </c>
      <c r="D33" s="6">
        <v>23</v>
      </c>
      <c r="E33" s="245" t="s">
        <v>119</v>
      </c>
      <c r="F33" s="10" t="s">
        <v>75</v>
      </c>
      <c r="G33" s="51">
        <v>0</v>
      </c>
      <c r="H33" s="247">
        <v>200</v>
      </c>
      <c r="I33" s="11" t="s">
        <v>61</v>
      </c>
      <c r="J33" s="53">
        <v>20</v>
      </c>
      <c r="K33" s="59">
        <v>80</v>
      </c>
      <c r="L33" s="83"/>
      <c r="M33" s="84"/>
      <c r="N33" s="13"/>
      <c r="O33" s="31"/>
      <c r="P33" s="13"/>
      <c r="Q33" s="36"/>
      <c r="R33" s="12"/>
      <c r="T33" s="295" t="str">
        <f t="shared" si="1"/>
        <v>INSERT INTO `mpt2`.`Messages` (`PlcID`, `MessageNum`, `MessageText`) VALUES ('10203', '23', '41 TR 101/9 - Температура газа на входе в верхнюю часть реактора V-7');</v>
      </c>
    </row>
    <row r="34" spans="1:20" ht="11.1" customHeight="1">
      <c r="A34" s="361"/>
      <c r="B34" s="364"/>
      <c r="C34" s="6">
        <v>8</v>
      </c>
      <c r="D34" s="24">
        <v>24</v>
      </c>
      <c r="E34" s="245" t="s">
        <v>120</v>
      </c>
      <c r="F34" s="26" t="s">
        <v>76</v>
      </c>
      <c r="G34" s="53">
        <v>0</v>
      </c>
      <c r="H34" s="247">
        <v>200</v>
      </c>
      <c r="I34" s="11" t="s">
        <v>61</v>
      </c>
      <c r="J34" s="53">
        <v>20</v>
      </c>
      <c r="K34" s="59">
        <v>80</v>
      </c>
      <c r="L34" s="86"/>
      <c r="M34" s="87"/>
      <c r="N34" s="28"/>
      <c r="O34" s="31"/>
      <c r="P34" s="13"/>
      <c r="Q34" s="36"/>
      <c r="R34" s="12"/>
      <c r="T34" s="295" t="str">
        <f t="shared" si="1"/>
        <v>INSERT INTO `mpt2`.`Messages` (`PlcID`, `MessageNum`, `MessageText`) VALUES ('10203', '24', '41 TR 101/10 - Температура газа на входе в нижнюю часть реактора V-7');</v>
      </c>
    </row>
    <row r="35" spans="1:20" ht="11.1" customHeight="1">
      <c r="A35" s="361"/>
      <c r="B35" s="364"/>
      <c r="C35" s="6">
        <v>9</v>
      </c>
      <c r="D35" s="6">
        <v>25</v>
      </c>
      <c r="E35" s="69" t="s">
        <v>121</v>
      </c>
      <c r="F35" s="26" t="s">
        <v>77</v>
      </c>
      <c r="G35" s="53">
        <v>0</v>
      </c>
      <c r="H35" s="55">
        <v>300</v>
      </c>
      <c r="I35" s="11" t="s">
        <v>61</v>
      </c>
      <c r="J35" s="51">
        <v>160</v>
      </c>
      <c r="K35" s="56">
        <v>170</v>
      </c>
      <c r="L35" s="83"/>
      <c r="M35" s="84"/>
      <c r="N35" s="13"/>
      <c r="O35" s="31"/>
      <c r="P35" s="13"/>
      <c r="Q35" s="36"/>
      <c r="R35" s="12"/>
      <c r="T35" s="295" t="str">
        <f t="shared" si="1"/>
        <v>INSERT INTO `mpt2`.`Messages` (`PlcID`, `MessageNum`, `MessageText`) VALUES ('10203', '25', '41 TR 101/16 - Температура верхнего бандажа реактора V-7');</v>
      </c>
    </row>
    <row r="36" spans="1:20" ht="11.1" customHeight="1">
      <c r="A36" s="361"/>
      <c r="B36" s="364"/>
      <c r="C36" s="6">
        <v>10</v>
      </c>
      <c r="D36" s="24">
        <v>26</v>
      </c>
      <c r="E36" s="69" t="s">
        <v>122</v>
      </c>
      <c r="F36" s="10" t="s">
        <v>78</v>
      </c>
      <c r="G36" s="51">
        <v>0</v>
      </c>
      <c r="H36" s="56">
        <v>300</v>
      </c>
      <c r="I36" s="11" t="s">
        <v>61</v>
      </c>
      <c r="J36" s="51">
        <v>160</v>
      </c>
      <c r="K36" s="56">
        <v>170</v>
      </c>
      <c r="L36" s="83"/>
      <c r="M36" s="84"/>
      <c r="N36" s="13"/>
      <c r="O36" s="31"/>
      <c r="P36" s="13"/>
      <c r="Q36" s="36"/>
      <c r="R36" s="12"/>
      <c r="T36" s="295" t="str">
        <f t="shared" si="1"/>
        <v>INSERT INTO `mpt2`.`Messages` (`PlcID`, `MessageNum`, `MessageText`) VALUES ('10203', '26', '41 TR 101/18 - Температура бандажа серидины нижней части реактора V-7');</v>
      </c>
    </row>
    <row r="37" spans="1:20" ht="11.1" customHeight="1">
      <c r="A37" s="361"/>
      <c r="B37" s="364"/>
      <c r="C37" s="6">
        <v>11</v>
      </c>
      <c r="D37" s="6">
        <v>27</v>
      </c>
      <c r="E37" s="69" t="s">
        <v>123</v>
      </c>
      <c r="F37" s="10" t="s">
        <v>79</v>
      </c>
      <c r="G37" s="51">
        <v>0</v>
      </c>
      <c r="H37" s="56">
        <v>300</v>
      </c>
      <c r="I37" s="11" t="s">
        <v>61</v>
      </c>
      <c r="J37" s="51">
        <v>160</v>
      </c>
      <c r="K37" s="56">
        <v>170</v>
      </c>
      <c r="L37" s="83"/>
      <c r="M37" s="84"/>
      <c r="N37" s="13"/>
      <c r="O37" s="31"/>
      <c r="P37" s="13"/>
      <c r="Q37" s="36"/>
      <c r="R37" s="12"/>
      <c r="T37" s="295" t="str">
        <f t="shared" si="1"/>
        <v>INSERT INTO `mpt2`.`Messages` (`PlcID`, `MessageNum`, `MessageText`) VALUES ('10203', '27', '41 TR 101/19 - Температура нижнего бандажа реактора V-7');</v>
      </c>
    </row>
    <row r="38" spans="1:20" ht="11.1" customHeight="1">
      <c r="A38" s="361"/>
      <c r="B38" s="364"/>
      <c r="C38" s="6">
        <v>12</v>
      </c>
      <c r="D38" s="24">
        <v>28</v>
      </c>
      <c r="E38" s="69" t="s">
        <v>124</v>
      </c>
      <c r="F38" s="10" t="s">
        <v>80</v>
      </c>
      <c r="G38" s="51">
        <v>0</v>
      </c>
      <c r="H38" s="56">
        <v>300</v>
      </c>
      <c r="I38" s="11" t="s">
        <v>61</v>
      </c>
      <c r="J38" s="51">
        <v>0</v>
      </c>
      <c r="K38" s="56">
        <v>240</v>
      </c>
      <c r="L38" s="83"/>
      <c r="M38" s="84"/>
      <c r="N38" s="13"/>
      <c r="O38" s="31"/>
      <c r="P38" s="28"/>
      <c r="Q38" s="36"/>
      <c r="R38" s="12"/>
      <c r="T38" s="295" t="str">
        <f t="shared" si="1"/>
        <v>INSERT INTO `mpt2`.`Messages` (`PlcID`, `MessageNum`, `MessageText`) VALUES ('10203', '28', '41 TR 101/20 - Температура воздуха из рубашек реактора V-7');</v>
      </c>
    </row>
    <row r="39" spans="1:20" ht="11.1" customHeight="1">
      <c r="A39" s="361"/>
      <c r="B39" s="364"/>
      <c r="C39" s="6">
        <v>13</v>
      </c>
      <c r="D39" s="6">
        <v>29</v>
      </c>
      <c r="E39" s="99"/>
      <c r="F39" s="99"/>
      <c r="G39" s="101"/>
      <c r="H39" s="98"/>
      <c r="I39" s="100"/>
      <c r="J39" s="101"/>
      <c r="K39" s="98"/>
      <c r="L39" s="83"/>
      <c r="M39" s="84"/>
      <c r="N39" s="13"/>
      <c r="O39" s="31"/>
      <c r="P39" s="13"/>
      <c r="Q39" s="36"/>
      <c r="R39" s="12"/>
    </row>
    <row r="40" spans="1:20" ht="11.1" customHeight="1">
      <c r="A40" s="361"/>
      <c r="B40" s="364"/>
      <c r="C40" s="6">
        <v>14</v>
      </c>
      <c r="D40" s="24">
        <v>30</v>
      </c>
      <c r="E40" s="69"/>
      <c r="F40" s="10"/>
      <c r="G40" s="51"/>
      <c r="H40" s="56"/>
      <c r="I40" s="11"/>
      <c r="J40" s="51"/>
      <c r="K40" s="56"/>
      <c r="L40" s="83"/>
      <c r="M40" s="84"/>
      <c r="N40" s="13"/>
      <c r="O40" s="31"/>
      <c r="P40" s="13"/>
      <c r="Q40" s="36"/>
      <c r="R40" s="12"/>
    </row>
    <row r="41" spans="1:20" ht="11.1" customHeight="1" thickBot="1">
      <c r="A41" s="362"/>
      <c r="B41" s="365"/>
      <c r="C41" s="14">
        <v>15</v>
      </c>
      <c r="D41" s="14">
        <v>31</v>
      </c>
      <c r="E41" s="88"/>
      <c r="F41" s="15"/>
      <c r="G41" s="52"/>
      <c r="H41" s="57"/>
      <c r="I41" s="16"/>
      <c r="J41" s="52"/>
      <c r="K41" s="57"/>
      <c r="L41" s="85"/>
      <c r="M41" s="97"/>
      <c r="N41" s="18"/>
      <c r="O41" s="34"/>
      <c r="P41" s="13"/>
      <c r="Q41" s="37"/>
      <c r="R41" s="17"/>
    </row>
    <row r="42" spans="1:20" ht="11.1" customHeight="1" thickTop="1">
      <c r="A42" s="360" t="s">
        <v>36</v>
      </c>
      <c r="B42" s="363">
        <v>5</v>
      </c>
      <c r="C42" s="5">
        <v>0</v>
      </c>
      <c r="D42" s="24">
        <v>32</v>
      </c>
      <c r="E42" s="93" t="s">
        <v>125</v>
      </c>
      <c r="F42" s="7" t="s">
        <v>62</v>
      </c>
      <c r="G42" s="54">
        <v>0</v>
      </c>
      <c r="H42" s="58">
        <v>300</v>
      </c>
      <c r="I42" s="9" t="s">
        <v>61</v>
      </c>
      <c r="J42" s="54">
        <v>130</v>
      </c>
      <c r="K42" s="58">
        <v>280</v>
      </c>
      <c r="L42" s="91"/>
      <c r="M42" s="94"/>
      <c r="N42" s="8"/>
      <c r="O42" s="95"/>
      <c r="P42" s="8"/>
      <c r="Q42" s="38"/>
      <c r="R42" s="25"/>
      <c r="T42" s="295" t="str">
        <f t="shared" ref="T42:T66" si="2">"INSERT INTO `mpt2`.`Messages` (`PlcID`, `MessageNum`, `MessageText`) VALUES ('10203', '"&amp;D42&amp;"', '"&amp;E42&amp;" - "&amp;F42&amp;"');"</f>
        <v>INSERT INTO `mpt2`.`Messages` (`PlcID`, `MessageNum`, `MessageText`) VALUES ('10203', '32', '41 TR 101/21 - Температура на выходе из продуктового холодильника E-10');</v>
      </c>
    </row>
    <row r="43" spans="1:20" ht="11.1" customHeight="1">
      <c r="A43" s="361"/>
      <c r="B43" s="364"/>
      <c r="C43" s="6">
        <v>1</v>
      </c>
      <c r="D43" s="6">
        <v>33</v>
      </c>
      <c r="E43" s="82" t="s">
        <v>126</v>
      </c>
      <c r="F43" s="26" t="s">
        <v>81</v>
      </c>
      <c r="G43" s="53">
        <v>0</v>
      </c>
      <c r="H43" s="55">
        <v>300</v>
      </c>
      <c r="I43" s="27" t="s">
        <v>61</v>
      </c>
      <c r="J43" s="53">
        <v>130</v>
      </c>
      <c r="K43" s="55">
        <v>270</v>
      </c>
      <c r="L43" s="83"/>
      <c r="M43" s="90"/>
      <c r="N43" s="13"/>
      <c r="O43" s="92"/>
      <c r="P43" s="22"/>
      <c r="Q43" s="36"/>
      <c r="R43" s="12"/>
      <c r="T43" s="295" t="str">
        <f t="shared" si="2"/>
        <v>INSERT INTO `mpt2`.`Messages` (`PlcID`, `MessageNum`, `MessageText`) VALUES ('10203', '33', '41 TR 101/26 - Температура газа из отделителя высокого давления V-8');</v>
      </c>
    </row>
    <row r="44" spans="1:20" ht="11.1" customHeight="1">
      <c r="A44" s="361"/>
      <c r="B44" s="364"/>
      <c r="C44" s="6">
        <v>2</v>
      </c>
      <c r="D44" s="24">
        <v>34</v>
      </c>
      <c r="E44" s="69" t="s">
        <v>127</v>
      </c>
      <c r="F44" s="10" t="s">
        <v>83</v>
      </c>
      <c r="G44" s="51">
        <v>0</v>
      </c>
      <c r="H44" s="56">
        <v>300</v>
      </c>
      <c r="I44" s="11" t="s">
        <v>61</v>
      </c>
      <c r="J44" s="51">
        <v>130</v>
      </c>
      <c r="K44" s="56">
        <v>270</v>
      </c>
      <c r="L44" s="86"/>
      <c r="M44" s="87"/>
      <c r="N44" s="28"/>
      <c r="O44" s="33"/>
      <c r="P44" s="13"/>
      <c r="Q44" s="36"/>
      <c r="R44" s="12"/>
      <c r="T44" s="295" t="str">
        <f t="shared" si="2"/>
        <v>INSERT INTO `mpt2`.`Messages` (`PlcID`, `MessageNum`, `MessageText`) VALUES ('10203', '34', '41 TR 101/27 - Температура на входе в холодильники Е-7/1÷3 возвратного газа');</v>
      </c>
    </row>
    <row r="45" spans="1:20" ht="11.1" customHeight="1">
      <c r="A45" s="361"/>
      <c r="B45" s="364"/>
      <c r="C45" s="6">
        <v>3</v>
      </c>
      <c r="D45" s="6">
        <v>35</v>
      </c>
      <c r="E45" s="69" t="s">
        <v>128</v>
      </c>
      <c r="F45" s="10" t="s">
        <v>82</v>
      </c>
      <c r="G45" s="51">
        <v>0</v>
      </c>
      <c r="H45" s="56">
        <v>300</v>
      </c>
      <c r="I45" s="11" t="s">
        <v>61</v>
      </c>
      <c r="J45" s="51">
        <v>40</v>
      </c>
      <c r="K45" s="56">
        <v>160</v>
      </c>
      <c r="L45" s="83"/>
      <c r="M45" s="84"/>
      <c r="N45" s="13"/>
      <c r="O45" s="31"/>
      <c r="P45" s="13"/>
      <c r="Q45" s="36"/>
      <c r="R45" s="12"/>
      <c r="T45" s="295" t="str">
        <f t="shared" si="2"/>
        <v>INSERT INTO `mpt2`.`Messages` (`PlcID`, `MessageNum`, `MessageText`) VALUES ('10203', '35', '41 TR 101/28 - Температура на выходе из холодильника Е-7/1');</v>
      </c>
    </row>
    <row r="46" spans="1:20" ht="11.1" customHeight="1">
      <c r="A46" s="361"/>
      <c r="B46" s="364"/>
      <c r="C46" s="6">
        <v>4</v>
      </c>
      <c r="D46" s="24">
        <v>36</v>
      </c>
      <c r="E46" s="69" t="s">
        <v>129</v>
      </c>
      <c r="F46" s="10" t="s">
        <v>84</v>
      </c>
      <c r="G46" s="51">
        <v>0</v>
      </c>
      <c r="H46" s="56">
        <v>300</v>
      </c>
      <c r="I46" s="11" t="s">
        <v>61</v>
      </c>
      <c r="J46" s="51">
        <v>40</v>
      </c>
      <c r="K46" s="56">
        <v>160</v>
      </c>
      <c r="L46" s="83"/>
      <c r="M46" s="84"/>
      <c r="N46" s="13"/>
      <c r="O46" s="31"/>
      <c r="P46" s="13"/>
      <c r="Q46" s="36"/>
      <c r="R46" s="12"/>
      <c r="T46" s="295" t="str">
        <f t="shared" si="2"/>
        <v>INSERT INTO `mpt2`.`Messages` (`PlcID`, `MessageNum`, `MessageText`) VALUES ('10203', '36', '41 TR 101/29 - Температура на выходе из холодильника Е-7/2');</v>
      </c>
    </row>
    <row r="47" spans="1:20" ht="11.1" customHeight="1">
      <c r="A47" s="361"/>
      <c r="B47" s="364"/>
      <c r="C47" s="6">
        <v>5</v>
      </c>
      <c r="D47" s="6">
        <v>37</v>
      </c>
      <c r="E47" s="69" t="s">
        <v>130</v>
      </c>
      <c r="F47" s="10" t="s">
        <v>85</v>
      </c>
      <c r="G47" s="51">
        <v>0</v>
      </c>
      <c r="H47" s="56">
        <v>300</v>
      </c>
      <c r="I47" s="11" t="s">
        <v>61</v>
      </c>
      <c r="J47" s="51">
        <v>40</v>
      </c>
      <c r="K47" s="56">
        <v>160</v>
      </c>
      <c r="L47" s="83"/>
      <c r="M47" s="84"/>
      <c r="N47" s="13"/>
      <c r="O47" s="92"/>
      <c r="P47" s="13"/>
      <c r="Q47" s="36"/>
      <c r="R47" s="12"/>
      <c r="T47" s="295" t="str">
        <f t="shared" si="2"/>
        <v>INSERT INTO `mpt2`.`Messages` (`PlcID`, `MessageNum`, `MessageText`) VALUES ('10203', '37', '41 TR 101/30 - Температура на выходе из холодильника Е-7/3');</v>
      </c>
    </row>
    <row r="48" spans="1:20" ht="11.1" customHeight="1">
      <c r="A48" s="361"/>
      <c r="B48" s="364"/>
      <c r="C48" s="6">
        <v>6</v>
      </c>
      <c r="D48" s="24">
        <v>38</v>
      </c>
      <c r="E48" s="69" t="s">
        <v>131</v>
      </c>
      <c r="F48" s="10" t="s">
        <v>86</v>
      </c>
      <c r="G48" s="51">
        <v>0</v>
      </c>
      <c r="H48" s="56">
        <v>300</v>
      </c>
      <c r="I48" s="11" t="s">
        <v>61</v>
      </c>
      <c r="J48" s="51">
        <v>130</v>
      </c>
      <c r="K48" s="56">
        <v>250</v>
      </c>
      <c r="L48" s="86"/>
      <c r="M48" s="87"/>
      <c r="N48" s="28"/>
      <c r="O48" s="33"/>
      <c r="P48" s="13"/>
      <c r="Q48" s="36"/>
      <c r="R48" s="12"/>
      <c r="T48" s="295" t="str">
        <f t="shared" si="2"/>
        <v>INSERT INTO `mpt2`.`Messages` (`PlcID`, `MessageNum`, `MessageText`) VALUES ('10203', '38', '41 TR 101/31 - Температура газа из отделителя низкого давления V-9');</v>
      </c>
    </row>
    <row r="49" spans="1:20" ht="11.1" customHeight="1">
      <c r="A49" s="361"/>
      <c r="B49" s="364"/>
      <c r="C49" s="6">
        <v>7</v>
      </c>
      <c r="D49" s="6">
        <v>39</v>
      </c>
      <c r="E49" s="82" t="s">
        <v>132</v>
      </c>
      <c r="F49" s="26" t="s">
        <v>87</v>
      </c>
      <c r="G49" s="53">
        <v>0</v>
      </c>
      <c r="H49" s="55">
        <v>100</v>
      </c>
      <c r="I49" s="27" t="s">
        <v>61</v>
      </c>
      <c r="J49" s="53">
        <v>0</v>
      </c>
      <c r="K49" s="55">
        <v>85</v>
      </c>
      <c r="L49" s="83"/>
      <c r="M49" s="84"/>
      <c r="N49" s="13"/>
      <c r="O49" s="31"/>
      <c r="P49" s="13"/>
      <c r="Q49" s="36"/>
      <c r="R49" s="12"/>
      <c r="T49" s="295" t="str">
        <f t="shared" si="2"/>
        <v>INSERT INTO `mpt2`.`Messages` (`PlcID`, `MessageNum`, `MessageText`) VALUES ('10203', '39', '41 TR 101/32 - Температура сдувочного газа из F-3');</v>
      </c>
    </row>
    <row r="50" spans="1:20" ht="11.1" customHeight="1">
      <c r="A50" s="361"/>
      <c r="B50" s="364"/>
      <c r="C50" s="6">
        <v>8</v>
      </c>
      <c r="D50" s="24">
        <v>40</v>
      </c>
      <c r="E50" s="69" t="s">
        <v>133</v>
      </c>
      <c r="F50" s="26" t="s">
        <v>88</v>
      </c>
      <c r="G50" s="51">
        <v>0</v>
      </c>
      <c r="H50" s="56">
        <v>300</v>
      </c>
      <c r="I50" s="11" t="s">
        <v>61</v>
      </c>
      <c r="J50" s="51">
        <v>125</v>
      </c>
      <c r="K50" s="56">
        <v>210</v>
      </c>
      <c r="L50" s="83"/>
      <c r="M50" s="84"/>
      <c r="N50" s="13"/>
      <c r="O50" s="31"/>
      <c r="P50" s="13"/>
      <c r="Q50" s="36"/>
      <c r="R50" s="12"/>
      <c r="T50" s="295" t="str">
        <f t="shared" si="2"/>
        <v>INSERT INTO `mpt2`.`Messages` (`PlcID`, `MessageNum`, `MessageText`) VALUES ('10203', '40', '41 TR 101/40 - Температура конденсата из материалапровода холодильника Е-10');</v>
      </c>
    </row>
    <row r="51" spans="1:20" ht="11.1" customHeight="1">
      <c r="A51" s="361"/>
      <c r="B51" s="364"/>
      <c r="C51" s="6">
        <v>9</v>
      </c>
      <c r="D51" s="6">
        <v>41</v>
      </c>
      <c r="E51" s="69" t="s">
        <v>134</v>
      </c>
      <c r="F51" s="10" t="s">
        <v>89</v>
      </c>
      <c r="G51" s="51">
        <v>0</v>
      </c>
      <c r="H51" s="56">
        <v>300</v>
      </c>
      <c r="I51" s="11" t="s">
        <v>61</v>
      </c>
      <c r="J51" s="51">
        <v>125</v>
      </c>
      <c r="K51" s="56">
        <v>210</v>
      </c>
      <c r="L51" s="83"/>
      <c r="M51" s="84"/>
      <c r="N51" s="13"/>
      <c r="O51" s="31"/>
      <c r="P51" s="13"/>
      <c r="Q51" s="36"/>
      <c r="R51" s="12"/>
      <c r="T51" s="295" t="str">
        <f t="shared" si="2"/>
        <v>INSERT INTO `mpt2`.`Messages` (`PlcID`, `MessageNum`, `MessageText`) VALUES ('10203', '41', '41 TR 101/41 - Температура из рубашки продуктового холодильника Е-10');</v>
      </c>
    </row>
    <row r="52" spans="1:20" ht="11.1" customHeight="1">
      <c r="A52" s="361"/>
      <c r="B52" s="364"/>
      <c r="C52" s="6">
        <v>10</v>
      </c>
      <c r="D52" s="24">
        <v>42</v>
      </c>
      <c r="E52" s="69" t="s">
        <v>135</v>
      </c>
      <c r="F52" s="10" t="s">
        <v>90</v>
      </c>
      <c r="G52" s="51">
        <v>0</v>
      </c>
      <c r="H52" s="56">
        <v>300</v>
      </c>
      <c r="I52" s="11" t="s">
        <v>61</v>
      </c>
      <c r="J52" s="51">
        <v>125</v>
      </c>
      <c r="K52" s="56">
        <v>210</v>
      </c>
      <c r="L52" s="83"/>
      <c r="M52" s="84"/>
      <c r="N52" s="13"/>
      <c r="O52" s="31"/>
      <c r="P52" s="22"/>
      <c r="Q52" s="36"/>
      <c r="R52" s="12"/>
      <c r="T52" s="295" t="str">
        <f t="shared" si="2"/>
        <v>INSERT INTO `mpt2`.`Messages` (`PlcID`, `MessageNum`, `MessageText`) VALUES ('10203', '42', '41 TR 101/43 - Температура конденсата из рубашки отделителя высого давления V-8');</v>
      </c>
    </row>
    <row r="53" spans="1:20" ht="11.1" customHeight="1">
      <c r="A53" s="361"/>
      <c r="B53" s="364"/>
      <c r="C53" s="6">
        <v>11</v>
      </c>
      <c r="D53" s="6">
        <v>43</v>
      </c>
      <c r="E53" s="245" t="s">
        <v>136</v>
      </c>
      <c r="F53" s="10" t="s">
        <v>91</v>
      </c>
      <c r="G53" s="51">
        <v>0</v>
      </c>
      <c r="H53" s="246">
        <v>200</v>
      </c>
      <c r="I53" s="11" t="s">
        <v>61</v>
      </c>
      <c r="J53" s="51">
        <v>0</v>
      </c>
      <c r="K53" s="60">
        <v>0</v>
      </c>
      <c r="L53" s="83"/>
      <c r="M53" s="84"/>
      <c r="N53" s="13"/>
      <c r="O53" s="31"/>
      <c r="P53" s="22"/>
      <c r="Q53" s="36"/>
      <c r="R53" s="12"/>
      <c r="T53" s="295" t="str">
        <f t="shared" si="2"/>
        <v>INSERT INTO `mpt2`.`Messages` (`PlcID`, `MessageNum`, `MessageText`) VALUES ('10203', '43', '41 TR 101/52 - Температура конденсата в рубашке нагнетательных тр-дов Р-1, Р-2');</v>
      </c>
    </row>
    <row r="54" spans="1:20" ht="11.1" customHeight="1">
      <c r="A54" s="361"/>
      <c r="B54" s="364"/>
      <c r="C54" s="6">
        <v>12</v>
      </c>
      <c r="D54" s="24">
        <v>44</v>
      </c>
      <c r="E54" s="241" t="s">
        <v>411</v>
      </c>
      <c r="F54" s="242" t="s">
        <v>415</v>
      </c>
      <c r="G54" s="51"/>
      <c r="H54" s="56"/>
      <c r="I54" s="11"/>
      <c r="J54" s="51"/>
      <c r="K54" s="60"/>
      <c r="L54" s="13"/>
      <c r="M54" s="60"/>
      <c r="N54" s="13"/>
      <c r="O54" s="31"/>
      <c r="P54" s="22"/>
      <c r="Q54" s="36"/>
      <c r="R54" s="397" t="s">
        <v>416</v>
      </c>
      <c r="S54" s="303"/>
      <c r="T54" s="295" t="str">
        <f t="shared" si="2"/>
        <v>INSERT INTO `mpt2`.`Messages` (`PlcID`, `MessageNum`, `MessageText`) VALUES ('10203', '44', '41 TR-101/22 - Температура в отделителе низк. Давления V-9');</v>
      </c>
    </row>
    <row r="55" spans="1:20" ht="11.1" customHeight="1">
      <c r="A55" s="361"/>
      <c r="B55" s="364"/>
      <c r="C55" s="6">
        <v>13</v>
      </c>
      <c r="D55" s="6">
        <v>45</v>
      </c>
      <c r="E55" s="241" t="s">
        <v>412</v>
      </c>
      <c r="F55" s="242" t="s">
        <v>415</v>
      </c>
      <c r="G55" s="51"/>
      <c r="H55" s="56"/>
      <c r="I55" s="11"/>
      <c r="J55" s="51"/>
      <c r="K55" s="60"/>
      <c r="L55" s="13"/>
      <c r="M55" s="31"/>
      <c r="N55" s="13"/>
      <c r="O55" s="31"/>
      <c r="P55" s="22"/>
      <c r="Q55" s="36"/>
      <c r="R55" s="398"/>
      <c r="S55" s="304"/>
      <c r="T55" s="295" t="str">
        <f t="shared" si="2"/>
        <v>INSERT INTO `mpt2`.`Messages` (`PlcID`, `MessageNum`, `MessageText`) VALUES ('10203', '45', '42 TR-101/22 - Температура в отделителе низк. Давления V-9');</v>
      </c>
    </row>
    <row r="56" spans="1:20" ht="11.1" customHeight="1">
      <c r="A56" s="361"/>
      <c r="B56" s="364"/>
      <c r="C56" s="6">
        <v>14</v>
      </c>
      <c r="D56" s="24">
        <v>46</v>
      </c>
      <c r="E56" s="242" t="s">
        <v>413</v>
      </c>
      <c r="F56" s="242" t="s">
        <v>415</v>
      </c>
      <c r="G56" s="51"/>
      <c r="H56" s="56"/>
      <c r="I56" s="11"/>
      <c r="J56" s="13"/>
      <c r="K56" s="31"/>
      <c r="L56" s="13"/>
      <c r="M56" s="31"/>
      <c r="N56" s="13"/>
      <c r="O56" s="31"/>
      <c r="P56" s="22"/>
      <c r="Q56" s="36"/>
      <c r="R56" s="398"/>
      <c r="S56" s="304"/>
      <c r="T56" s="295" t="str">
        <f t="shared" si="2"/>
        <v>INSERT INTO `mpt2`.`Messages` (`PlcID`, `MessageNum`, `MessageText`) VALUES ('10203', '46', '43 TR-101/22 - Температура в отделителе низк. Давления V-9');</v>
      </c>
    </row>
    <row r="57" spans="1:20" ht="11.1" customHeight="1" thickBot="1">
      <c r="A57" s="362"/>
      <c r="B57" s="365"/>
      <c r="C57" s="14">
        <v>15</v>
      </c>
      <c r="D57" s="14">
        <v>47</v>
      </c>
      <c r="E57" s="243" t="s">
        <v>414</v>
      </c>
      <c r="F57" s="243" t="s">
        <v>415</v>
      </c>
      <c r="G57" s="73"/>
      <c r="H57" s="74"/>
      <c r="I57" s="75"/>
      <c r="J57" s="73"/>
      <c r="K57" s="76"/>
      <c r="L57" s="77"/>
      <c r="M57" s="32"/>
      <c r="N57" s="18"/>
      <c r="O57" s="32"/>
      <c r="P57" s="23"/>
      <c r="Q57" s="37"/>
      <c r="R57" s="399"/>
      <c r="S57" s="304"/>
      <c r="T57" s="295" t="str">
        <f t="shared" si="2"/>
        <v>INSERT INTO `mpt2`.`Messages` (`PlcID`, `MessageNum`, `MessageText`) VALUES ('10203', '47', '44 TR-101/22 - Температура в отделителе низк. Давления V-9');</v>
      </c>
    </row>
    <row r="58" spans="1:20" ht="11.1" customHeight="1" thickTop="1">
      <c r="A58" s="360" t="s">
        <v>36</v>
      </c>
      <c r="B58" s="348">
        <v>6</v>
      </c>
      <c r="C58" s="24">
        <v>0</v>
      </c>
      <c r="D58" s="24">
        <v>48</v>
      </c>
      <c r="E58" s="82" t="s">
        <v>140</v>
      </c>
      <c r="F58" s="82" t="s">
        <v>45</v>
      </c>
      <c r="G58" s="102">
        <v>0</v>
      </c>
      <c r="H58" s="103">
        <v>100</v>
      </c>
      <c r="I58" s="71" t="s">
        <v>46</v>
      </c>
      <c r="J58" s="102">
        <v>30</v>
      </c>
      <c r="K58" s="104">
        <v>50</v>
      </c>
      <c r="L58" s="102"/>
      <c r="M58" s="104"/>
      <c r="N58" s="105"/>
      <c r="O58" s="104"/>
      <c r="P58" s="151"/>
      <c r="Q58" s="152"/>
      <c r="R58" s="153"/>
      <c r="S58" s="305"/>
      <c r="T58" s="295" t="str">
        <f t="shared" si="2"/>
        <v>INSERT INTO `mpt2`.`Messages` (`PlcID`, `MessageNum`, `MessageText`) VALUES ('10203', '48', '42 PRC-4 - Давление в ресивере V-1');</v>
      </c>
    </row>
    <row r="59" spans="1:20" ht="11.1" customHeight="1">
      <c r="A59" s="361"/>
      <c r="B59" s="364"/>
      <c r="C59" s="6">
        <v>1</v>
      </c>
      <c r="D59" s="6">
        <v>49</v>
      </c>
      <c r="E59" s="69" t="s">
        <v>141</v>
      </c>
      <c r="F59" s="69" t="s">
        <v>47</v>
      </c>
      <c r="G59" s="61">
        <v>0</v>
      </c>
      <c r="H59" s="70">
        <v>60</v>
      </c>
      <c r="I59" s="106" t="s">
        <v>48</v>
      </c>
      <c r="J59" s="61">
        <v>18</v>
      </c>
      <c r="K59" s="62">
        <v>25</v>
      </c>
      <c r="L59" s="61"/>
      <c r="M59" s="62"/>
      <c r="N59" s="107"/>
      <c r="O59" s="62"/>
      <c r="P59" s="154"/>
      <c r="Q59" s="155"/>
      <c r="R59" s="156"/>
      <c r="S59" s="305"/>
      <c r="T59" s="295" t="str">
        <f t="shared" si="2"/>
        <v>INSERT INTO `mpt2`.`Messages` (`PlcID`, `MessageNum`, `MessageText`) VALUES ('10203', '49', '42 PR-45 - Давление в отделителе высокого давления V-8');</v>
      </c>
    </row>
    <row r="60" spans="1:20" ht="11.1" customHeight="1">
      <c r="A60" s="361"/>
      <c r="B60" s="364"/>
      <c r="C60" s="6">
        <v>2</v>
      </c>
      <c r="D60" s="24">
        <v>50</v>
      </c>
      <c r="E60" s="69" t="s">
        <v>142</v>
      </c>
      <c r="F60" s="69" t="s">
        <v>49</v>
      </c>
      <c r="G60" s="61">
        <v>0</v>
      </c>
      <c r="H60" s="70">
        <v>400</v>
      </c>
      <c r="I60" s="106" t="s">
        <v>46</v>
      </c>
      <c r="J60" s="61">
        <v>30</v>
      </c>
      <c r="K60" s="62">
        <v>100</v>
      </c>
      <c r="L60" s="61"/>
      <c r="M60" s="62"/>
      <c r="N60" s="107"/>
      <c r="O60" s="62"/>
      <c r="P60" s="154"/>
      <c r="Q60" s="155"/>
      <c r="R60" s="156" t="s">
        <v>50</v>
      </c>
      <c r="S60" s="305"/>
      <c r="T60" s="295" t="str">
        <f t="shared" si="2"/>
        <v>INSERT INTO `mpt2`.`Messages` (`PlcID`, `MessageNum`, `MessageText`) VALUES ('10203', '50', '42 PR-46 - Давление в отделителе низкого давления V-9');</v>
      </c>
    </row>
    <row r="61" spans="1:20" ht="11.1" customHeight="1">
      <c r="A61" s="361"/>
      <c r="B61" s="364"/>
      <c r="C61" s="6">
        <v>3</v>
      </c>
      <c r="D61" s="6">
        <v>51</v>
      </c>
      <c r="E61" s="69" t="s">
        <v>143</v>
      </c>
      <c r="F61" s="69" t="s">
        <v>53</v>
      </c>
      <c r="G61" s="61">
        <v>0</v>
      </c>
      <c r="H61" s="70">
        <v>100</v>
      </c>
      <c r="I61" s="106" t="s">
        <v>52</v>
      </c>
      <c r="J61" s="61">
        <v>15</v>
      </c>
      <c r="K61" s="62">
        <v>40</v>
      </c>
      <c r="L61" s="61">
        <v>10</v>
      </c>
      <c r="M61" s="62">
        <v>55</v>
      </c>
      <c r="N61" s="107"/>
      <c r="O61" s="62"/>
      <c r="P61" s="154"/>
      <c r="Q61" s="155"/>
      <c r="R61" s="156" t="s">
        <v>54</v>
      </c>
      <c r="S61" s="305"/>
      <c r="T61" s="295" t="str">
        <f t="shared" si="2"/>
        <v>INSERT INTO `mpt2`.`Messages` (`PlcID`, `MessageNum`, `MessageText`) VALUES ('10203', '51', '42 LRCA-4 - Уровень п/э в отделителе выкого давления V-8');</v>
      </c>
    </row>
    <row r="62" spans="1:20" ht="11.1" customHeight="1">
      <c r="A62" s="361"/>
      <c r="B62" s="364"/>
      <c r="C62" s="6">
        <v>4</v>
      </c>
      <c r="D62" s="24">
        <v>52</v>
      </c>
      <c r="E62" s="69" t="s">
        <v>146</v>
      </c>
      <c r="F62" s="69" t="s">
        <v>51</v>
      </c>
      <c r="G62" s="61">
        <v>0</v>
      </c>
      <c r="H62" s="70">
        <v>100</v>
      </c>
      <c r="I62" s="106" t="s">
        <v>52</v>
      </c>
      <c r="J62" s="61">
        <v>10</v>
      </c>
      <c r="K62" s="62">
        <v>60</v>
      </c>
      <c r="L62" s="61">
        <v>10</v>
      </c>
      <c r="M62" s="62">
        <v>60</v>
      </c>
      <c r="N62" s="107"/>
      <c r="O62" s="62"/>
      <c r="P62" s="154"/>
      <c r="Q62" s="155"/>
      <c r="R62" s="156" t="s">
        <v>54</v>
      </c>
      <c r="S62" s="305"/>
      <c r="T62" s="295" t="str">
        <f t="shared" si="2"/>
        <v>INSERT INTO `mpt2`.`Messages` (`PlcID`, `MessageNum`, `MessageText`) VALUES ('10203', '52', '42 LRA-6 - Уровень п/э в отделителе низкого давления V-9');</v>
      </c>
    </row>
    <row r="63" spans="1:20" ht="11.1" customHeight="1">
      <c r="A63" s="361"/>
      <c r="B63" s="364"/>
      <c r="C63" s="6">
        <v>5</v>
      </c>
      <c r="D63" s="6">
        <v>53</v>
      </c>
      <c r="E63" s="69" t="s">
        <v>145</v>
      </c>
      <c r="F63" s="69" t="s">
        <v>55</v>
      </c>
      <c r="G63" s="61">
        <v>0</v>
      </c>
      <c r="H63" s="70">
        <v>75</v>
      </c>
      <c r="I63" s="106" t="s">
        <v>56</v>
      </c>
      <c r="J63" s="61">
        <v>27</v>
      </c>
      <c r="K63" s="62">
        <v>60</v>
      </c>
      <c r="L63" s="61"/>
      <c r="M63" s="62"/>
      <c r="N63" s="107"/>
      <c r="O63" s="62"/>
      <c r="P63" s="154"/>
      <c r="Q63" s="155"/>
      <c r="R63" s="156"/>
      <c r="S63" s="305"/>
      <c r="T63" s="295" t="str">
        <f t="shared" si="2"/>
        <v>INSERT INTO `mpt2`.`Messages` (`PlcID`, `MessageNum`, `MessageText`) VALUES ('10203', '53', '42 FR-13 - Расход конденсата к режущему устройству Z-1');</v>
      </c>
    </row>
    <row r="64" spans="1:20" ht="11.1" customHeight="1">
      <c r="A64" s="361"/>
      <c r="B64" s="364"/>
      <c r="C64" s="6">
        <v>6</v>
      </c>
      <c r="D64" s="24">
        <v>54</v>
      </c>
      <c r="E64" s="69" t="s">
        <v>147</v>
      </c>
      <c r="F64" s="69" t="s">
        <v>58</v>
      </c>
      <c r="G64" s="61">
        <v>0</v>
      </c>
      <c r="H64" s="70">
        <v>2000</v>
      </c>
      <c r="I64" s="106" t="s">
        <v>57</v>
      </c>
      <c r="J64" s="61">
        <v>0</v>
      </c>
      <c r="K64" s="62">
        <v>1630</v>
      </c>
      <c r="L64" s="61"/>
      <c r="M64" s="62"/>
      <c r="N64" s="107"/>
      <c r="O64" s="62"/>
      <c r="P64" s="154"/>
      <c r="Q64" s="155"/>
      <c r="R64" s="156"/>
      <c r="S64" s="305"/>
      <c r="T64" s="295" t="str">
        <f t="shared" si="2"/>
        <v>INSERT INTO `mpt2`.`Messages` (`PlcID`, `MessageNum`, `MessageText`) VALUES ('10203', '54', '42 FR-5 - Расход возвратного газа из С-1 в рессивер V-2');</v>
      </c>
    </row>
    <row r="65" spans="1:20" ht="11.1" customHeight="1">
      <c r="A65" s="361"/>
      <c r="B65" s="364"/>
      <c r="C65" s="6">
        <v>7</v>
      </c>
      <c r="D65" s="6">
        <v>55</v>
      </c>
      <c r="E65" s="69" t="s">
        <v>148</v>
      </c>
      <c r="F65" s="69" t="s">
        <v>93</v>
      </c>
      <c r="G65" s="61">
        <v>0</v>
      </c>
      <c r="H65" s="70">
        <v>300</v>
      </c>
      <c r="I65" s="106" t="s">
        <v>61</v>
      </c>
      <c r="J65" s="61">
        <v>0</v>
      </c>
      <c r="K65" s="62">
        <v>240</v>
      </c>
      <c r="L65" s="61"/>
      <c r="M65" s="62">
        <v>170</v>
      </c>
      <c r="N65" s="107"/>
      <c r="O65" s="62">
        <v>240</v>
      </c>
      <c r="P65" s="154"/>
      <c r="Q65" s="155"/>
      <c r="R65" s="156"/>
      <c r="S65" s="305"/>
      <c r="T65" s="295" t="str">
        <f t="shared" si="2"/>
        <v>INSERT INTO `mpt2`.`Messages` (`PlcID`, `MessageNum`, `MessageText`) VALUES ('10203', '55', '42 TRCSA-5 - Температура стенки реактора V-7');</v>
      </c>
    </row>
    <row r="66" spans="1:20" ht="11.1" customHeight="1">
      <c r="A66" s="361"/>
      <c r="B66" s="364"/>
      <c r="C66" s="6">
        <v>8</v>
      </c>
      <c r="D66" s="24">
        <v>56</v>
      </c>
      <c r="E66" s="69" t="s">
        <v>149</v>
      </c>
      <c r="F66" s="69" t="s">
        <v>62</v>
      </c>
      <c r="G66" s="61">
        <v>0</v>
      </c>
      <c r="H66" s="70">
        <v>300</v>
      </c>
      <c r="I66" s="106" t="s">
        <v>61</v>
      </c>
      <c r="J66" s="61">
        <v>130</v>
      </c>
      <c r="K66" s="62">
        <v>280</v>
      </c>
      <c r="L66" s="61"/>
      <c r="M66" s="62"/>
      <c r="N66" s="107"/>
      <c r="O66" s="62"/>
      <c r="P66" s="154"/>
      <c r="Q66" s="155"/>
      <c r="R66" s="156"/>
      <c r="S66" s="305"/>
      <c r="T66" s="295" t="str">
        <f t="shared" si="2"/>
        <v>INSERT INTO `mpt2`.`Messages` (`PlcID`, `MessageNum`, `MessageText`) VALUES ('10203', '56', '42 TRC-6 - Температура на выходе из продуктового холодильника E-10');</v>
      </c>
    </row>
    <row r="67" spans="1:20" ht="11.1" customHeight="1">
      <c r="A67" s="361"/>
      <c r="B67" s="364"/>
      <c r="C67" s="336">
        <v>9</v>
      </c>
      <c r="D67" s="389">
        <v>57</v>
      </c>
      <c r="E67" s="391" t="s">
        <v>150</v>
      </c>
      <c r="F67" s="10" t="s">
        <v>279</v>
      </c>
      <c r="G67" s="393">
        <v>0</v>
      </c>
      <c r="H67" s="395">
        <v>200</v>
      </c>
      <c r="I67" s="385" t="s">
        <v>63</v>
      </c>
      <c r="J67" s="51">
        <v>125</v>
      </c>
      <c r="K67" s="60">
        <v>145</v>
      </c>
      <c r="L67" s="51"/>
      <c r="M67" s="60">
        <v>146</v>
      </c>
      <c r="N67" s="13"/>
      <c r="O67" s="60"/>
      <c r="P67" s="22"/>
      <c r="Q67" s="36"/>
      <c r="R67" s="6" t="s">
        <v>285</v>
      </c>
      <c r="S67" s="3"/>
      <c r="T67" s="296" t="str">
        <f>"INSERT INTO `mpt2`.`Messages` (`PlcID`, `MessageNum`, `MessageText`) VALUES ('10203', '"&amp;D67&amp;"', '"&amp;E67&amp;" - "&amp;"Давление в реакторе V-7"&amp;"');"</f>
        <v>INSERT INTO `mpt2`.`Messages` (`PlcID`, `MessageNum`, `MessageText`) VALUES ('10203', '57', '42 PRA-43 - Давление в реакторе V-7');</v>
      </c>
    </row>
    <row r="68" spans="1:20" ht="11.1" customHeight="1">
      <c r="A68" s="361"/>
      <c r="B68" s="364"/>
      <c r="C68" s="337"/>
      <c r="D68" s="390"/>
      <c r="E68" s="392"/>
      <c r="F68" s="10" t="s">
        <v>280</v>
      </c>
      <c r="G68" s="394"/>
      <c r="H68" s="396"/>
      <c r="I68" s="386"/>
      <c r="J68" s="51">
        <v>115</v>
      </c>
      <c r="K68" s="60">
        <v>135</v>
      </c>
      <c r="L68" s="51"/>
      <c r="M68" s="60">
        <v>136</v>
      </c>
      <c r="N68" s="13"/>
      <c r="O68" s="60"/>
      <c r="P68" s="22"/>
      <c r="Q68" s="36"/>
      <c r="R68" s="6" t="s">
        <v>286</v>
      </c>
      <c r="S68" s="3"/>
    </row>
    <row r="69" spans="1:20" ht="11.1" customHeight="1">
      <c r="A69" s="361"/>
      <c r="B69" s="364"/>
      <c r="C69" s="337"/>
      <c r="D69" s="390"/>
      <c r="E69" s="392"/>
      <c r="F69" s="10" t="s">
        <v>281</v>
      </c>
      <c r="G69" s="394"/>
      <c r="H69" s="396"/>
      <c r="I69" s="386"/>
      <c r="J69" s="51">
        <v>140</v>
      </c>
      <c r="K69" s="60">
        <v>155</v>
      </c>
      <c r="L69" s="51"/>
      <c r="M69" s="60">
        <v>156</v>
      </c>
      <c r="N69" s="13"/>
      <c r="O69" s="60"/>
      <c r="P69" s="22"/>
      <c r="Q69" s="36"/>
      <c r="R69" s="6" t="s">
        <v>287</v>
      </c>
      <c r="S69" s="3"/>
    </row>
    <row r="70" spans="1:20" ht="11.1" customHeight="1">
      <c r="A70" s="361"/>
      <c r="B70" s="364"/>
      <c r="C70" s="337"/>
      <c r="D70" s="390"/>
      <c r="E70" s="392"/>
      <c r="F70" s="10" t="s">
        <v>282</v>
      </c>
      <c r="G70" s="394"/>
      <c r="H70" s="396"/>
      <c r="I70" s="386"/>
      <c r="J70" s="51">
        <v>125</v>
      </c>
      <c r="K70" s="60">
        <v>150</v>
      </c>
      <c r="L70" s="51"/>
      <c r="M70" s="60">
        <v>151</v>
      </c>
      <c r="N70" s="13"/>
      <c r="O70" s="60"/>
      <c r="P70" s="22"/>
      <c r="Q70" s="36"/>
      <c r="R70" s="6" t="s">
        <v>288</v>
      </c>
      <c r="S70" s="3"/>
    </row>
    <row r="71" spans="1:20" ht="11.1" customHeight="1">
      <c r="A71" s="361"/>
      <c r="B71" s="364"/>
      <c r="C71" s="337"/>
      <c r="D71" s="390"/>
      <c r="E71" s="392"/>
      <c r="F71" s="10" t="s">
        <v>283</v>
      </c>
      <c r="G71" s="394"/>
      <c r="H71" s="396"/>
      <c r="I71" s="386"/>
      <c r="J71" s="51">
        <v>122.5</v>
      </c>
      <c r="K71" s="60">
        <v>147.5</v>
      </c>
      <c r="L71" s="51"/>
      <c r="M71" s="60">
        <v>148.5</v>
      </c>
      <c r="N71" s="13"/>
      <c r="O71" s="60"/>
      <c r="P71" s="22"/>
      <c r="Q71" s="36"/>
      <c r="R71" s="6" t="s">
        <v>289</v>
      </c>
      <c r="S71" s="3"/>
    </row>
    <row r="72" spans="1:20" ht="11.1" customHeight="1">
      <c r="A72" s="361"/>
      <c r="B72" s="364"/>
      <c r="C72" s="337"/>
      <c r="D72" s="390"/>
      <c r="E72" s="392"/>
      <c r="F72" s="327" t="s">
        <v>473</v>
      </c>
      <c r="G72" s="394"/>
      <c r="H72" s="396"/>
      <c r="I72" s="386"/>
      <c r="J72" s="321">
        <v>115</v>
      </c>
      <c r="K72" s="322">
        <v>145</v>
      </c>
      <c r="L72" s="321"/>
      <c r="M72" s="322">
        <v>147</v>
      </c>
      <c r="N72" s="323"/>
      <c r="O72" s="322"/>
      <c r="P72" s="324"/>
      <c r="Q72" s="325"/>
      <c r="R72" s="326" t="s">
        <v>443</v>
      </c>
      <c r="S72" s="3"/>
    </row>
    <row r="73" spans="1:20" ht="11.1" customHeight="1">
      <c r="A73" s="361"/>
      <c r="B73" s="364"/>
      <c r="C73" s="337"/>
      <c r="D73" s="390"/>
      <c r="E73" s="392"/>
      <c r="F73" s="10" t="s">
        <v>284</v>
      </c>
      <c r="G73" s="394"/>
      <c r="H73" s="396"/>
      <c r="I73" s="386"/>
      <c r="J73" s="51">
        <v>138</v>
      </c>
      <c r="K73" s="60">
        <v>155</v>
      </c>
      <c r="L73" s="51"/>
      <c r="M73" s="60">
        <v>156</v>
      </c>
      <c r="N73" s="13"/>
      <c r="O73" s="60"/>
      <c r="P73" s="22"/>
      <c r="Q73" s="36"/>
      <c r="R73" s="6" t="s">
        <v>290</v>
      </c>
      <c r="S73" s="3"/>
    </row>
    <row r="74" spans="1:20" ht="11.1" customHeight="1">
      <c r="A74" s="361"/>
      <c r="B74" s="364"/>
      <c r="C74" s="6">
        <v>10</v>
      </c>
      <c r="D74" s="24">
        <v>58</v>
      </c>
      <c r="E74" s="176" t="s">
        <v>151</v>
      </c>
      <c r="F74" s="176" t="s">
        <v>64</v>
      </c>
      <c r="G74" s="61">
        <v>0</v>
      </c>
      <c r="H74" s="108">
        <v>350</v>
      </c>
      <c r="I74" s="106" t="s">
        <v>65</v>
      </c>
      <c r="J74" s="61">
        <v>32</v>
      </c>
      <c r="K74" s="62">
        <v>320</v>
      </c>
      <c r="L74" s="61"/>
      <c r="M74" s="62"/>
      <c r="N74" s="107"/>
      <c r="O74" s="62"/>
      <c r="P74" s="154"/>
      <c r="Q74" s="155"/>
      <c r="R74" s="156"/>
      <c r="S74" s="305"/>
      <c r="T74" s="295" t="str">
        <f>"INSERT INTO `mpt2`.`Messages` (`PlcID`, `MessageNum`, `MessageText`) VALUES ('10203', '"&amp;D74&amp;"', '"&amp;E74&amp;" - "&amp;F74&amp;"');"</f>
        <v>INSERT INTO `mpt2`.`Messages` (`PlcID`, `MessageNum`, `MessageText`) VALUES ('10203', '58', '42 SR -1 - Число оборотов компрессора C-2');</v>
      </c>
    </row>
    <row r="75" spans="1:20" ht="11.1" customHeight="1">
      <c r="A75" s="361"/>
      <c r="B75" s="364"/>
      <c r="C75" s="6">
        <v>11</v>
      </c>
      <c r="D75" s="6">
        <v>59</v>
      </c>
      <c r="E75" s="176" t="s">
        <v>152</v>
      </c>
      <c r="F75" s="176" t="s">
        <v>66</v>
      </c>
      <c r="G75" s="61">
        <v>0</v>
      </c>
      <c r="H75" s="108">
        <v>350</v>
      </c>
      <c r="I75" s="106" t="s">
        <v>65</v>
      </c>
      <c r="J75" s="61">
        <v>32</v>
      </c>
      <c r="K75" s="62">
        <v>320</v>
      </c>
      <c r="L75" s="61"/>
      <c r="M75" s="62"/>
      <c r="N75" s="107"/>
      <c r="O75" s="62"/>
      <c r="P75" s="154"/>
      <c r="Q75" s="155"/>
      <c r="R75" s="156"/>
      <c r="S75" s="305"/>
      <c r="T75" s="295" t="str">
        <f>"INSERT INTO `mpt2`.`Messages` (`PlcID`, `MessageNum`, `MessageText`) VALUES ('10203', '"&amp;D75&amp;"', '"&amp;E75&amp;" - "&amp;F75&amp;"');"</f>
        <v>INSERT INTO `mpt2`.`Messages` (`PlcID`, `MessageNum`, `MessageText`) VALUES ('10203', '59', '42 SR -2 - Число оборотов компрессора второго каскада C-3/2');</v>
      </c>
    </row>
    <row r="76" spans="1:20" ht="11.1" customHeight="1">
      <c r="A76" s="361"/>
      <c r="B76" s="364"/>
      <c r="C76" s="6">
        <v>12</v>
      </c>
      <c r="D76" s="24">
        <v>60</v>
      </c>
      <c r="E76" s="184" t="s">
        <v>327</v>
      </c>
      <c r="F76" s="185" t="s">
        <v>68</v>
      </c>
      <c r="G76" s="51">
        <v>0</v>
      </c>
      <c r="H76" s="56">
        <v>20</v>
      </c>
      <c r="I76" s="11" t="s">
        <v>63</v>
      </c>
      <c r="J76" s="51">
        <v>5</v>
      </c>
      <c r="K76" s="60">
        <v>13</v>
      </c>
      <c r="L76" s="13"/>
      <c r="M76" s="60">
        <v>13</v>
      </c>
      <c r="N76" s="13"/>
      <c r="O76" s="60">
        <v>14</v>
      </c>
      <c r="P76" s="154"/>
      <c r="Q76" s="155"/>
      <c r="R76" s="156"/>
      <c r="S76" s="305"/>
      <c r="T76" s="295" t="str">
        <f>"INSERT INTO `mpt2`.`Messages` (`PlcID`, `MessageNum`, `MessageText`) VALUES ('10203', '"&amp;D76&amp;"', '"&amp;E76&amp;" - "&amp;F76&amp;"');"</f>
        <v>INSERT INTO `mpt2`.`Messages` (`PlcID`, `MessageNum`, `MessageText`) VALUES ('10203', '60', '42 PRSA-84 - Давление нагнетания экструзионного насоса P-4');</v>
      </c>
    </row>
    <row r="77" spans="1:20" ht="11.1" customHeight="1">
      <c r="A77" s="361"/>
      <c r="B77" s="364"/>
      <c r="C77" s="6">
        <v>13</v>
      </c>
      <c r="D77" s="6">
        <v>61</v>
      </c>
      <c r="E77" s="184" t="s">
        <v>326</v>
      </c>
      <c r="F77" s="185" t="s">
        <v>323</v>
      </c>
      <c r="G77" s="51">
        <v>0</v>
      </c>
      <c r="H77" s="56">
        <v>2</v>
      </c>
      <c r="I77" s="11" t="s">
        <v>63</v>
      </c>
      <c r="J77" s="83">
        <v>0.95</v>
      </c>
      <c r="K77" s="199">
        <v>1.05</v>
      </c>
      <c r="L77" s="109"/>
      <c r="M77" s="110"/>
      <c r="N77" s="107"/>
      <c r="O77" s="62"/>
      <c r="P77" s="154"/>
      <c r="Q77" s="155"/>
      <c r="R77" s="156"/>
      <c r="S77" s="305"/>
      <c r="T77" s="295" t="str">
        <f>"INSERT INTO `mpt2`.`Messages` (`PlcID`, `MessageNum`, `MessageText`) VALUES ('10203', '"&amp;D77&amp;"', '"&amp;E77&amp;" - "&amp;F77&amp;"');"</f>
        <v>INSERT INTO `mpt2`.`Messages` (`PlcID`, `MessageNum`, `MessageText`) VALUES ('10203', '61', '42 PR-10 - Давление в ресивере V-2');</v>
      </c>
    </row>
    <row r="78" spans="1:20" ht="11.1" customHeight="1">
      <c r="A78" s="361"/>
      <c r="B78" s="364"/>
      <c r="C78" s="6">
        <v>14</v>
      </c>
      <c r="D78" s="24">
        <v>62</v>
      </c>
      <c r="E78" s="241"/>
      <c r="F78" s="242" t="s">
        <v>433</v>
      </c>
      <c r="G78" s="61"/>
      <c r="H78" s="70"/>
      <c r="I78" s="106"/>
      <c r="J78" s="61"/>
      <c r="K78" s="70"/>
      <c r="L78" s="109"/>
      <c r="M78" s="110"/>
      <c r="N78" s="107"/>
      <c r="O78" s="62"/>
      <c r="P78" s="154"/>
      <c r="Q78" s="155"/>
      <c r="R78" s="156"/>
      <c r="S78" s="305"/>
    </row>
    <row r="79" spans="1:20" ht="11.1" customHeight="1" thickBot="1">
      <c r="A79" s="362"/>
      <c r="B79" s="365"/>
      <c r="C79" s="14">
        <v>15</v>
      </c>
      <c r="D79" s="14">
        <v>63</v>
      </c>
      <c r="E79" s="88"/>
      <c r="F79" s="88"/>
      <c r="G79" s="111"/>
      <c r="H79" s="112"/>
      <c r="I79" s="113"/>
      <c r="J79" s="111"/>
      <c r="K79" s="112"/>
      <c r="L79" s="114"/>
      <c r="M79" s="115"/>
      <c r="N79" s="116"/>
      <c r="O79" s="117"/>
      <c r="P79" s="157"/>
      <c r="Q79" s="158"/>
      <c r="R79" s="159"/>
      <c r="S79" s="305"/>
    </row>
    <row r="80" spans="1:20" ht="10.5" customHeight="1" thickTop="1">
      <c r="A80" s="360" t="s">
        <v>36</v>
      </c>
      <c r="B80" s="363">
        <v>7</v>
      </c>
      <c r="C80" s="5">
        <v>0</v>
      </c>
      <c r="D80" s="24">
        <v>64</v>
      </c>
      <c r="E80" s="249" t="s">
        <v>153</v>
      </c>
      <c r="F80" s="82" t="s">
        <v>67</v>
      </c>
      <c r="G80" s="118">
        <v>-50</v>
      </c>
      <c r="H80" s="250">
        <v>100</v>
      </c>
      <c r="I80" s="71" t="s">
        <v>61</v>
      </c>
      <c r="J80" s="118">
        <v>5</v>
      </c>
      <c r="K80" s="104">
        <v>40</v>
      </c>
      <c r="L80" s="118"/>
      <c r="M80" s="104"/>
      <c r="N80" s="105"/>
      <c r="O80" s="119"/>
      <c r="P80" s="160"/>
      <c r="Q80" s="161"/>
      <c r="R80" s="162"/>
      <c r="S80" s="306"/>
      <c r="T80" s="295" t="str">
        <f t="shared" ref="T80:T92" si="3">"INSERT INTO `mpt2`.`Messages` (`PlcID`, `MessageNum`, `MessageText`) VALUES ('10203', '"&amp;D80&amp;"', '"&amp;E80&amp;" - "&amp;F80&amp;"');"</f>
        <v>INSERT INTO `mpt2`.`Messages` (`PlcID`, `MessageNum`, `MessageText`) VALUES ('10203', '64', '42 TR 101/1 - Температура на входе в рессивер V-2');</v>
      </c>
    </row>
    <row r="81" spans="1:20" ht="10.5" customHeight="1">
      <c r="A81" s="361"/>
      <c r="B81" s="364"/>
      <c r="C81" s="6">
        <v>1</v>
      </c>
      <c r="D81" s="6">
        <v>65</v>
      </c>
      <c r="E81" s="245" t="s">
        <v>154</v>
      </c>
      <c r="F81" s="69" t="s">
        <v>69</v>
      </c>
      <c r="G81" s="61">
        <v>0</v>
      </c>
      <c r="H81" s="247">
        <v>200</v>
      </c>
      <c r="I81" s="106" t="s">
        <v>61</v>
      </c>
      <c r="J81" s="61">
        <v>30</v>
      </c>
      <c r="K81" s="62">
        <v>60</v>
      </c>
      <c r="L81" s="61"/>
      <c r="M81" s="62"/>
      <c r="N81" s="107"/>
      <c r="O81" s="120"/>
      <c r="P81" s="154"/>
      <c r="Q81" s="155"/>
      <c r="R81" s="163"/>
      <c r="S81" s="306"/>
      <c r="T81" s="295" t="str">
        <f t="shared" si="3"/>
        <v>INSERT INTO `mpt2`.`Messages` (`PlcID`, `MessageNum`, `MessageText`) VALUES ('10203', '65', '42 TR 101/3 - Температура этилена на выходе из холодильников Е-7');</v>
      </c>
    </row>
    <row r="82" spans="1:20" ht="10.5" customHeight="1">
      <c r="A82" s="361"/>
      <c r="B82" s="364"/>
      <c r="C82" s="6">
        <v>2</v>
      </c>
      <c r="D82" s="24">
        <v>66</v>
      </c>
      <c r="E82" s="245" t="s">
        <v>155</v>
      </c>
      <c r="F82" s="69" t="s">
        <v>70</v>
      </c>
      <c r="G82" s="61">
        <v>0</v>
      </c>
      <c r="H82" s="247">
        <v>200</v>
      </c>
      <c r="I82" s="106" t="s">
        <v>61</v>
      </c>
      <c r="J82" s="61">
        <v>30</v>
      </c>
      <c r="K82" s="62">
        <v>50</v>
      </c>
      <c r="L82" s="61"/>
      <c r="M82" s="62"/>
      <c r="N82" s="107"/>
      <c r="O82" s="120"/>
      <c r="P82" s="154"/>
      <c r="Q82" s="155"/>
      <c r="R82" s="163"/>
      <c r="S82" s="306"/>
      <c r="T82" s="295" t="str">
        <f t="shared" si="3"/>
        <v>INSERT INTO `mpt2`.`Messages` (`PlcID`, `MessageNum`, `MessageText`) VALUES ('10203', '66', '42 TR 101/4 - Температура на выходе из смесительной ёмкости V-5');</v>
      </c>
    </row>
    <row r="83" spans="1:20" ht="10.5" customHeight="1">
      <c r="A83" s="361"/>
      <c r="B83" s="364"/>
      <c r="C83" s="6">
        <v>3</v>
      </c>
      <c r="D83" s="6">
        <v>67</v>
      </c>
      <c r="E83" s="245" t="s">
        <v>156</v>
      </c>
      <c r="F83" s="69" t="s">
        <v>71</v>
      </c>
      <c r="G83" s="61">
        <v>0</v>
      </c>
      <c r="H83" s="247">
        <v>200</v>
      </c>
      <c r="I83" s="106" t="s">
        <v>61</v>
      </c>
      <c r="J83" s="61">
        <v>20</v>
      </c>
      <c r="K83" s="121">
        <v>80</v>
      </c>
      <c r="L83" s="61"/>
      <c r="M83" s="121"/>
      <c r="N83" s="107"/>
      <c r="O83" s="122"/>
      <c r="P83" s="154"/>
      <c r="Q83" s="155"/>
      <c r="R83" s="163"/>
      <c r="S83" s="306"/>
      <c r="T83" s="295" t="str">
        <f t="shared" si="3"/>
        <v>INSERT INTO `mpt2`.`Messages` (`PlcID`, `MessageNum`, `MessageText`) VALUES ('10203', '67', '42 TR 101/5 - Температура газа на входе в верхнюю часть реактора V-7 от С -3/1');</v>
      </c>
    </row>
    <row r="84" spans="1:20" ht="10.5" customHeight="1">
      <c r="A84" s="361"/>
      <c r="B84" s="364"/>
      <c r="C84" s="6">
        <v>4</v>
      </c>
      <c r="D84" s="24">
        <v>68</v>
      </c>
      <c r="E84" s="245" t="s">
        <v>157</v>
      </c>
      <c r="F84" s="69" t="s">
        <v>72</v>
      </c>
      <c r="G84" s="61">
        <v>0</v>
      </c>
      <c r="H84" s="247">
        <v>200</v>
      </c>
      <c r="I84" s="106" t="s">
        <v>61</v>
      </c>
      <c r="J84" s="61">
        <v>20</v>
      </c>
      <c r="K84" s="62">
        <v>80</v>
      </c>
      <c r="L84" s="109"/>
      <c r="M84" s="110"/>
      <c r="N84" s="107"/>
      <c r="O84" s="122"/>
      <c r="P84" s="154"/>
      <c r="Q84" s="155"/>
      <c r="R84" s="163"/>
      <c r="S84" s="306"/>
      <c r="T84" s="295" t="str">
        <f t="shared" si="3"/>
        <v>INSERT INTO `mpt2`.`Messages` (`PlcID`, `MessageNum`, `MessageText`) VALUES ('10203', '68', '42 TR 101/6 - Температура газа на входе в верхнюю часть реактора V-7 от С -3/2');</v>
      </c>
    </row>
    <row r="85" spans="1:20" ht="10.5" customHeight="1">
      <c r="A85" s="361"/>
      <c r="B85" s="364"/>
      <c r="C85" s="6">
        <v>5</v>
      </c>
      <c r="D85" s="6">
        <v>69</v>
      </c>
      <c r="E85" s="245" t="s">
        <v>158</v>
      </c>
      <c r="F85" s="69" t="s">
        <v>73</v>
      </c>
      <c r="G85" s="61">
        <v>0</v>
      </c>
      <c r="H85" s="247">
        <v>200</v>
      </c>
      <c r="I85" s="106" t="s">
        <v>61</v>
      </c>
      <c r="J85" s="61">
        <v>20</v>
      </c>
      <c r="K85" s="121">
        <v>80</v>
      </c>
      <c r="L85" s="109"/>
      <c r="M85" s="110"/>
      <c r="N85" s="107"/>
      <c r="O85" s="120"/>
      <c r="P85" s="154"/>
      <c r="Q85" s="155"/>
      <c r="R85" s="163"/>
      <c r="S85" s="306"/>
      <c r="T85" s="295" t="str">
        <f t="shared" si="3"/>
        <v>INSERT INTO `mpt2`.`Messages` (`PlcID`, `MessageNum`, `MessageText`) VALUES ('10203', '69', '42 TR 101/7 - Температура газа на входе в нижнюю часть реактора V-7 от С -3/1');</v>
      </c>
    </row>
    <row r="86" spans="1:20" ht="10.5" customHeight="1">
      <c r="A86" s="361"/>
      <c r="B86" s="364"/>
      <c r="C86" s="6">
        <v>6</v>
      </c>
      <c r="D86" s="24">
        <v>70</v>
      </c>
      <c r="E86" s="245" t="s">
        <v>159</v>
      </c>
      <c r="F86" s="69" t="s">
        <v>74</v>
      </c>
      <c r="G86" s="61">
        <v>0</v>
      </c>
      <c r="H86" s="247">
        <v>200</v>
      </c>
      <c r="I86" s="106" t="s">
        <v>61</v>
      </c>
      <c r="J86" s="118">
        <v>20</v>
      </c>
      <c r="K86" s="104">
        <v>80</v>
      </c>
      <c r="L86" s="109"/>
      <c r="M86" s="110"/>
      <c r="N86" s="107"/>
      <c r="O86" s="120"/>
      <c r="P86" s="154"/>
      <c r="Q86" s="155"/>
      <c r="R86" s="163"/>
      <c r="S86" s="306"/>
      <c r="T86" s="295" t="str">
        <f t="shared" si="3"/>
        <v>INSERT INTO `mpt2`.`Messages` (`PlcID`, `MessageNum`, `MessageText`) VALUES ('10203', '70', '42 TR 101/8 - Температура газа на входе в нижнюю часть реактора V-7 от С -3/2');</v>
      </c>
    </row>
    <row r="87" spans="1:20" ht="10.5" customHeight="1">
      <c r="A87" s="361"/>
      <c r="B87" s="364"/>
      <c r="C87" s="6">
        <v>7</v>
      </c>
      <c r="D87" s="6">
        <v>71</v>
      </c>
      <c r="E87" s="245" t="s">
        <v>160</v>
      </c>
      <c r="F87" s="69" t="s">
        <v>75</v>
      </c>
      <c r="G87" s="61">
        <v>0</v>
      </c>
      <c r="H87" s="247">
        <v>200</v>
      </c>
      <c r="I87" s="106" t="s">
        <v>61</v>
      </c>
      <c r="J87" s="118">
        <v>20</v>
      </c>
      <c r="K87" s="104">
        <v>80</v>
      </c>
      <c r="L87" s="109"/>
      <c r="M87" s="110"/>
      <c r="N87" s="107"/>
      <c r="O87" s="120"/>
      <c r="P87" s="154"/>
      <c r="Q87" s="155"/>
      <c r="R87" s="163"/>
      <c r="S87" s="306"/>
      <c r="T87" s="295" t="str">
        <f t="shared" si="3"/>
        <v>INSERT INTO `mpt2`.`Messages` (`PlcID`, `MessageNum`, `MessageText`) VALUES ('10203', '71', '42 TR 101/9 - Температура газа на входе в верхнюю часть реактора V-7');</v>
      </c>
    </row>
    <row r="88" spans="1:20" ht="10.5" customHeight="1">
      <c r="A88" s="361"/>
      <c r="B88" s="364"/>
      <c r="C88" s="6">
        <v>8</v>
      </c>
      <c r="D88" s="24">
        <v>72</v>
      </c>
      <c r="E88" s="245" t="s">
        <v>161</v>
      </c>
      <c r="F88" s="82" t="s">
        <v>76</v>
      </c>
      <c r="G88" s="118">
        <v>0</v>
      </c>
      <c r="H88" s="247">
        <v>200</v>
      </c>
      <c r="I88" s="106" t="s">
        <v>61</v>
      </c>
      <c r="J88" s="118">
        <v>20</v>
      </c>
      <c r="K88" s="104">
        <v>80</v>
      </c>
      <c r="L88" s="123"/>
      <c r="M88" s="124"/>
      <c r="N88" s="105"/>
      <c r="O88" s="120"/>
      <c r="P88" s="154"/>
      <c r="Q88" s="155"/>
      <c r="R88" s="163"/>
      <c r="S88" s="306"/>
      <c r="T88" s="295" t="str">
        <f t="shared" si="3"/>
        <v>INSERT INTO `mpt2`.`Messages` (`PlcID`, `MessageNum`, `MessageText`) VALUES ('10203', '72', '42 TR 101/10 - Температура газа на входе в нижнюю часть реактора V-7');</v>
      </c>
    </row>
    <row r="89" spans="1:20" ht="10.5" customHeight="1">
      <c r="A89" s="361"/>
      <c r="B89" s="364"/>
      <c r="C89" s="6">
        <v>9</v>
      </c>
      <c r="D89" s="6">
        <v>73</v>
      </c>
      <c r="E89" s="69" t="s">
        <v>162</v>
      </c>
      <c r="F89" s="82" t="s">
        <v>77</v>
      </c>
      <c r="G89" s="118">
        <v>0</v>
      </c>
      <c r="H89" s="103">
        <v>300</v>
      </c>
      <c r="I89" s="106" t="s">
        <v>61</v>
      </c>
      <c r="J89" s="61">
        <v>160</v>
      </c>
      <c r="K89" s="70">
        <v>170</v>
      </c>
      <c r="L89" s="109"/>
      <c r="M89" s="110"/>
      <c r="N89" s="107"/>
      <c r="O89" s="120"/>
      <c r="P89" s="154"/>
      <c r="Q89" s="155"/>
      <c r="R89" s="163"/>
      <c r="S89" s="306"/>
      <c r="T89" s="295" t="str">
        <f t="shared" si="3"/>
        <v>INSERT INTO `mpt2`.`Messages` (`PlcID`, `MessageNum`, `MessageText`) VALUES ('10203', '73', '42 TR 101/16 - Температура верхнего бандажа реактора V-7');</v>
      </c>
    </row>
    <row r="90" spans="1:20" ht="10.5" customHeight="1">
      <c r="A90" s="361"/>
      <c r="B90" s="364"/>
      <c r="C90" s="6">
        <v>10</v>
      </c>
      <c r="D90" s="24">
        <v>74</v>
      </c>
      <c r="E90" s="69" t="s">
        <v>163</v>
      </c>
      <c r="F90" s="69" t="s">
        <v>78</v>
      </c>
      <c r="G90" s="61">
        <v>0</v>
      </c>
      <c r="H90" s="70">
        <v>300</v>
      </c>
      <c r="I90" s="106" t="s">
        <v>61</v>
      </c>
      <c r="J90" s="61">
        <v>160</v>
      </c>
      <c r="K90" s="70">
        <v>170</v>
      </c>
      <c r="L90" s="109"/>
      <c r="M90" s="110"/>
      <c r="N90" s="107"/>
      <c r="O90" s="120"/>
      <c r="P90" s="154"/>
      <c r="Q90" s="155"/>
      <c r="R90" s="163"/>
      <c r="S90" s="306"/>
      <c r="T90" s="295" t="str">
        <f t="shared" si="3"/>
        <v>INSERT INTO `mpt2`.`Messages` (`PlcID`, `MessageNum`, `MessageText`) VALUES ('10203', '74', '42 TR 101/18 - Температура бандажа серидины нижней части реактора V-7');</v>
      </c>
    </row>
    <row r="91" spans="1:20" ht="10.5" customHeight="1">
      <c r="A91" s="361"/>
      <c r="B91" s="364"/>
      <c r="C91" s="6">
        <v>11</v>
      </c>
      <c r="D91" s="6">
        <v>75</v>
      </c>
      <c r="E91" s="69" t="s">
        <v>164</v>
      </c>
      <c r="F91" s="69" t="s">
        <v>79</v>
      </c>
      <c r="G91" s="61">
        <v>0</v>
      </c>
      <c r="H91" s="70">
        <v>300</v>
      </c>
      <c r="I91" s="106" t="s">
        <v>61</v>
      </c>
      <c r="J91" s="61">
        <v>160</v>
      </c>
      <c r="K91" s="70">
        <v>170</v>
      </c>
      <c r="L91" s="109"/>
      <c r="M91" s="110"/>
      <c r="N91" s="107"/>
      <c r="O91" s="120"/>
      <c r="P91" s="154"/>
      <c r="Q91" s="155"/>
      <c r="R91" s="163"/>
      <c r="S91" s="306"/>
      <c r="T91" s="295" t="str">
        <f t="shared" si="3"/>
        <v>INSERT INTO `mpt2`.`Messages` (`PlcID`, `MessageNum`, `MessageText`) VALUES ('10203', '75', '42 TR 101/19 - Температура нижнего бандажа реактора V-7');</v>
      </c>
    </row>
    <row r="92" spans="1:20" ht="10.5" customHeight="1">
      <c r="A92" s="361"/>
      <c r="B92" s="364"/>
      <c r="C92" s="6">
        <v>12</v>
      </c>
      <c r="D92" s="24">
        <v>76</v>
      </c>
      <c r="E92" s="69" t="s">
        <v>165</v>
      </c>
      <c r="F92" s="69" t="s">
        <v>80</v>
      </c>
      <c r="G92" s="61">
        <v>0</v>
      </c>
      <c r="H92" s="70">
        <v>300</v>
      </c>
      <c r="I92" s="106" t="s">
        <v>61</v>
      </c>
      <c r="J92" s="61">
        <v>0</v>
      </c>
      <c r="K92" s="70">
        <v>240</v>
      </c>
      <c r="L92" s="109"/>
      <c r="M92" s="110"/>
      <c r="N92" s="107"/>
      <c r="O92" s="120"/>
      <c r="P92" s="154"/>
      <c r="Q92" s="155"/>
      <c r="R92" s="163"/>
      <c r="S92" s="306"/>
      <c r="T92" s="295" t="str">
        <f t="shared" si="3"/>
        <v>INSERT INTO `mpt2`.`Messages` (`PlcID`, `MessageNum`, `MessageText`) VALUES ('10203', '76', '42 TR 101/20 - Температура воздуха из рубашек реактора V-7');</v>
      </c>
    </row>
    <row r="93" spans="1:20" ht="10.5" customHeight="1">
      <c r="A93" s="361"/>
      <c r="B93" s="364"/>
      <c r="C93" s="6">
        <v>13</v>
      </c>
      <c r="D93" s="6">
        <v>77</v>
      </c>
      <c r="E93" s="125"/>
      <c r="F93" s="125"/>
      <c r="G93" s="126"/>
      <c r="H93" s="127"/>
      <c r="I93" s="128"/>
      <c r="J93" s="126"/>
      <c r="K93" s="127"/>
      <c r="L93" s="109"/>
      <c r="M93" s="110"/>
      <c r="N93" s="107"/>
      <c r="O93" s="120"/>
      <c r="P93" s="154"/>
      <c r="Q93" s="155"/>
      <c r="R93" s="163"/>
      <c r="S93" s="306"/>
    </row>
    <row r="94" spans="1:20" ht="10.5" customHeight="1">
      <c r="A94" s="361"/>
      <c r="B94" s="364"/>
      <c r="C94" s="6">
        <v>14</v>
      </c>
      <c r="D94" s="24">
        <v>78</v>
      </c>
      <c r="E94" s="69"/>
      <c r="F94" s="69"/>
      <c r="G94" s="61"/>
      <c r="H94" s="70"/>
      <c r="I94" s="106"/>
      <c r="J94" s="61"/>
      <c r="K94" s="70"/>
      <c r="L94" s="109"/>
      <c r="M94" s="110"/>
      <c r="N94" s="107"/>
      <c r="O94" s="120"/>
      <c r="P94" s="154"/>
      <c r="Q94" s="155"/>
      <c r="R94" s="163"/>
      <c r="S94" s="306"/>
    </row>
    <row r="95" spans="1:20" ht="10.5" customHeight="1" thickBot="1">
      <c r="A95" s="362"/>
      <c r="B95" s="365"/>
      <c r="C95" s="14">
        <v>15</v>
      </c>
      <c r="D95" s="14">
        <v>79</v>
      </c>
      <c r="E95" s="88"/>
      <c r="F95" s="88"/>
      <c r="G95" s="111"/>
      <c r="H95" s="112"/>
      <c r="I95" s="113"/>
      <c r="J95" s="111"/>
      <c r="K95" s="112"/>
      <c r="L95" s="114"/>
      <c r="M95" s="115"/>
      <c r="N95" s="116"/>
      <c r="O95" s="129"/>
      <c r="P95" s="157"/>
      <c r="Q95" s="158"/>
      <c r="R95" s="164"/>
      <c r="S95" s="306"/>
    </row>
    <row r="96" spans="1:20" ht="10.5" customHeight="1" thickTop="1">
      <c r="A96" s="360" t="s">
        <v>36</v>
      </c>
      <c r="B96" s="363">
        <v>8</v>
      </c>
      <c r="C96" s="5">
        <v>0</v>
      </c>
      <c r="D96" s="24">
        <v>80</v>
      </c>
      <c r="E96" s="93" t="s">
        <v>166</v>
      </c>
      <c r="F96" s="93" t="s">
        <v>62</v>
      </c>
      <c r="G96" s="130">
        <v>0</v>
      </c>
      <c r="H96" s="131">
        <v>300</v>
      </c>
      <c r="I96" s="132" t="s">
        <v>61</v>
      </c>
      <c r="J96" s="130">
        <v>130</v>
      </c>
      <c r="K96" s="131">
        <v>280</v>
      </c>
      <c r="L96" s="133"/>
      <c r="M96" s="134"/>
      <c r="N96" s="135"/>
      <c r="O96" s="136"/>
      <c r="P96" s="160"/>
      <c r="Q96" s="161"/>
      <c r="R96" s="162"/>
      <c r="S96" s="306"/>
      <c r="T96" s="295" t="str">
        <f t="shared" ref="T96:T120" si="4">"INSERT INTO `mpt2`.`Messages` (`PlcID`, `MessageNum`, `MessageText`) VALUES ('10203', '"&amp;D96&amp;"', '"&amp;E96&amp;" - "&amp;F96&amp;"');"</f>
        <v>INSERT INTO `mpt2`.`Messages` (`PlcID`, `MessageNum`, `MessageText`) VALUES ('10203', '80', '42 TR 101/21 - Температура на выходе из продуктового холодильника E-10');</v>
      </c>
    </row>
    <row r="97" spans="1:20" ht="10.5" customHeight="1">
      <c r="A97" s="361"/>
      <c r="B97" s="364"/>
      <c r="C97" s="6">
        <v>1</v>
      </c>
      <c r="D97" s="6">
        <v>81</v>
      </c>
      <c r="E97" s="82" t="s">
        <v>167</v>
      </c>
      <c r="F97" s="82" t="s">
        <v>81</v>
      </c>
      <c r="G97" s="118">
        <v>0</v>
      </c>
      <c r="H97" s="103">
        <v>300</v>
      </c>
      <c r="I97" s="71" t="s">
        <v>61</v>
      </c>
      <c r="J97" s="118">
        <v>130</v>
      </c>
      <c r="K97" s="103">
        <v>270</v>
      </c>
      <c r="L97" s="109"/>
      <c r="M97" s="110"/>
      <c r="N97" s="107"/>
      <c r="O97" s="122"/>
      <c r="P97" s="154"/>
      <c r="Q97" s="155"/>
      <c r="R97" s="163"/>
      <c r="S97" s="306"/>
      <c r="T97" s="295" t="str">
        <f t="shared" si="4"/>
        <v>INSERT INTO `mpt2`.`Messages` (`PlcID`, `MessageNum`, `MessageText`) VALUES ('10203', '81', '42 TR 101/26 - Температура газа из отделителя высокого давления V-8');</v>
      </c>
    </row>
    <row r="98" spans="1:20" ht="10.5" customHeight="1">
      <c r="A98" s="361"/>
      <c r="B98" s="364"/>
      <c r="C98" s="6">
        <v>2</v>
      </c>
      <c r="D98" s="24">
        <v>82</v>
      </c>
      <c r="E98" s="69" t="s">
        <v>168</v>
      </c>
      <c r="F98" s="69" t="s">
        <v>83</v>
      </c>
      <c r="G98" s="61">
        <v>0</v>
      </c>
      <c r="H98" s="70">
        <v>300</v>
      </c>
      <c r="I98" s="106" t="s">
        <v>61</v>
      </c>
      <c r="J98" s="61">
        <v>130</v>
      </c>
      <c r="K98" s="70">
        <v>270</v>
      </c>
      <c r="L98" s="123"/>
      <c r="M98" s="124"/>
      <c r="N98" s="105"/>
      <c r="O98" s="137"/>
      <c r="P98" s="154"/>
      <c r="Q98" s="155"/>
      <c r="R98" s="163"/>
      <c r="S98" s="306"/>
      <c r="T98" s="295" t="str">
        <f t="shared" si="4"/>
        <v>INSERT INTO `mpt2`.`Messages` (`PlcID`, `MessageNum`, `MessageText`) VALUES ('10203', '82', '42 TR 101/27 - Температура на входе в холодильники Е-7/1÷3 возвратного газа');</v>
      </c>
    </row>
    <row r="99" spans="1:20" ht="10.5" customHeight="1">
      <c r="A99" s="361"/>
      <c r="B99" s="364"/>
      <c r="C99" s="6">
        <v>3</v>
      </c>
      <c r="D99" s="6">
        <v>83</v>
      </c>
      <c r="E99" s="69" t="s">
        <v>169</v>
      </c>
      <c r="F99" s="69" t="s">
        <v>82</v>
      </c>
      <c r="G99" s="61">
        <v>0</v>
      </c>
      <c r="H99" s="70">
        <v>300</v>
      </c>
      <c r="I99" s="106" t="s">
        <v>61</v>
      </c>
      <c r="J99" s="61">
        <v>40</v>
      </c>
      <c r="K99" s="70">
        <v>160</v>
      </c>
      <c r="L99" s="109"/>
      <c r="M99" s="110"/>
      <c r="N99" s="107"/>
      <c r="O99" s="120"/>
      <c r="P99" s="154"/>
      <c r="Q99" s="155"/>
      <c r="R99" s="163"/>
      <c r="S99" s="306"/>
      <c r="T99" s="295" t="str">
        <f t="shared" si="4"/>
        <v>INSERT INTO `mpt2`.`Messages` (`PlcID`, `MessageNum`, `MessageText`) VALUES ('10203', '83', '42 TR 101/28 - Температура на выходе из холодильника Е-7/1');</v>
      </c>
    </row>
    <row r="100" spans="1:20" ht="10.5" customHeight="1">
      <c r="A100" s="361"/>
      <c r="B100" s="364"/>
      <c r="C100" s="6">
        <v>4</v>
      </c>
      <c r="D100" s="24">
        <v>84</v>
      </c>
      <c r="E100" s="69" t="s">
        <v>170</v>
      </c>
      <c r="F100" s="69" t="s">
        <v>84</v>
      </c>
      <c r="G100" s="61">
        <v>0</v>
      </c>
      <c r="H100" s="70">
        <v>300</v>
      </c>
      <c r="I100" s="106" t="s">
        <v>61</v>
      </c>
      <c r="J100" s="61">
        <v>40</v>
      </c>
      <c r="K100" s="70">
        <v>160</v>
      </c>
      <c r="L100" s="109"/>
      <c r="M100" s="110"/>
      <c r="N100" s="107"/>
      <c r="O100" s="120"/>
      <c r="P100" s="154"/>
      <c r="Q100" s="155"/>
      <c r="R100" s="163"/>
      <c r="S100" s="306"/>
      <c r="T100" s="295" t="str">
        <f t="shared" si="4"/>
        <v>INSERT INTO `mpt2`.`Messages` (`PlcID`, `MessageNum`, `MessageText`) VALUES ('10203', '84', '42 TR 101/29 - Температура на выходе из холодильника Е-7/2');</v>
      </c>
    </row>
    <row r="101" spans="1:20" ht="10.5" customHeight="1">
      <c r="A101" s="361"/>
      <c r="B101" s="364"/>
      <c r="C101" s="6">
        <v>5</v>
      </c>
      <c r="D101" s="6">
        <v>85</v>
      </c>
      <c r="E101" s="69" t="s">
        <v>171</v>
      </c>
      <c r="F101" s="69" t="s">
        <v>85</v>
      </c>
      <c r="G101" s="61">
        <v>0</v>
      </c>
      <c r="H101" s="70">
        <v>300</v>
      </c>
      <c r="I101" s="106" t="s">
        <v>61</v>
      </c>
      <c r="J101" s="61">
        <v>40</v>
      </c>
      <c r="K101" s="70">
        <v>160</v>
      </c>
      <c r="L101" s="109"/>
      <c r="M101" s="110"/>
      <c r="N101" s="107"/>
      <c r="O101" s="122"/>
      <c r="P101" s="154"/>
      <c r="Q101" s="155"/>
      <c r="R101" s="163"/>
      <c r="S101" s="306"/>
      <c r="T101" s="295" t="str">
        <f t="shared" si="4"/>
        <v>INSERT INTO `mpt2`.`Messages` (`PlcID`, `MessageNum`, `MessageText`) VALUES ('10203', '85', '42 TR 101/30 - Температура на выходе из холодильника Е-7/3');</v>
      </c>
    </row>
    <row r="102" spans="1:20" ht="10.5" customHeight="1">
      <c r="A102" s="361"/>
      <c r="B102" s="364"/>
      <c r="C102" s="6">
        <v>6</v>
      </c>
      <c r="D102" s="24">
        <v>86</v>
      </c>
      <c r="E102" s="69" t="s">
        <v>172</v>
      </c>
      <c r="F102" s="69" t="s">
        <v>86</v>
      </c>
      <c r="G102" s="61">
        <v>0</v>
      </c>
      <c r="H102" s="70">
        <v>300</v>
      </c>
      <c r="I102" s="106" t="s">
        <v>61</v>
      </c>
      <c r="J102" s="61">
        <v>130</v>
      </c>
      <c r="K102" s="70">
        <v>250</v>
      </c>
      <c r="L102" s="123"/>
      <c r="M102" s="124"/>
      <c r="N102" s="105"/>
      <c r="O102" s="137"/>
      <c r="P102" s="154"/>
      <c r="Q102" s="155"/>
      <c r="R102" s="163"/>
      <c r="S102" s="306"/>
      <c r="T102" s="295" t="str">
        <f t="shared" si="4"/>
        <v>INSERT INTO `mpt2`.`Messages` (`PlcID`, `MessageNum`, `MessageText`) VALUES ('10203', '86', '42 TR 101/31 - Температура газа из отделителя низкого давления V-9');</v>
      </c>
    </row>
    <row r="103" spans="1:20" ht="10.5" customHeight="1">
      <c r="A103" s="361"/>
      <c r="B103" s="364"/>
      <c r="C103" s="6">
        <v>7</v>
      </c>
      <c r="D103" s="6">
        <v>87</v>
      </c>
      <c r="E103" s="82" t="s">
        <v>173</v>
      </c>
      <c r="F103" s="82" t="s">
        <v>87</v>
      </c>
      <c r="G103" s="118">
        <v>0</v>
      </c>
      <c r="H103" s="103">
        <v>100</v>
      </c>
      <c r="I103" s="71" t="s">
        <v>61</v>
      </c>
      <c r="J103" s="118">
        <v>0</v>
      </c>
      <c r="K103" s="103">
        <v>85</v>
      </c>
      <c r="L103" s="109"/>
      <c r="M103" s="110"/>
      <c r="N103" s="107"/>
      <c r="O103" s="120"/>
      <c r="P103" s="154"/>
      <c r="Q103" s="155"/>
      <c r="R103" s="163"/>
      <c r="S103" s="306"/>
      <c r="T103" s="295" t="str">
        <f t="shared" si="4"/>
        <v>INSERT INTO `mpt2`.`Messages` (`PlcID`, `MessageNum`, `MessageText`) VALUES ('10203', '87', '42 TR 101/32 - Температура сдувочного газа из F-3');</v>
      </c>
    </row>
    <row r="104" spans="1:20" ht="10.5" customHeight="1">
      <c r="A104" s="361"/>
      <c r="B104" s="364"/>
      <c r="C104" s="6">
        <v>8</v>
      </c>
      <c r="D104" s="24">
        <v>88</v>
      </c>
      <c r="E104" s="69" t="s">
        <v>174</v>
      </c>
      <c r="F104" s="82" t="s">
        <v>88</v>
      </c>
      <c r="G104" s="61">
        <v>0</v>
      </c>
      <c r="H104" s="70">
        <v>300</v>
      </c>
      <c r="I104" s="106" t="s">
        <v>61</v>
      </c>
      <c r="J104" s="61">
        <v>125</v>
      </c>
      <c r="K104" s="70">
        <v>210</v>
      </c>
      <c r="L104" s="109"/>
      <c r="M104" s="110"/>
      <c r="N104" s="107"/>
      <c r="O104" s="120"/>
      <c r="P104" s="154"/>
      <c r="Q104" s="155"/>
      <c r="R104" s="163"/>
      <c r="S104" s="306"/>
      <c r="T104" s="295" t="str">
        <f t="shared" si="4"/>
        <v>INSERT INTO `mpt2`.`Messages` (`PlcID`, `MessageNum`, `MessageText`) VALUES ('10203', '88', '42 TR 101/40 - Температура конденсата из материалапровода холодильника Е-10');</v>
      </c>
    </row>
    <row r="105" spans="1:20" ht="10.5" customHeight="1">
      <c r="A105" s="361"/>
      <c r="B105" s="364"/>
      <c r="C105" s="6">
        <v>9</v>
      </c>
      <c r="D105" s="6">
        <v>89</v>
      </c>
      <c r="E105" s="69" t="s">
        <v>175</v>
      </c>
      <c r="F105" s="69" t="s">
        <v>89</v>
      </c>
      <c r="G105" s="61">
        <v>0</v>
      </c>
      <c r="H105" s="70">
        <v>300</v>
      </c>
      <c r="I105" s="106" t="s">
        <v>61</v>
      </c>
      <c r="J105" s="61">
        <v>125</v>
      </c>
      <c r="K105" s="70">
        <v>210</v>
      </c>
      <c r="L105" s="109"/>
      <c r="M105" s="110"/>
      <c r="N105" s="107"/>
      <c r="O105" s="120"/>
      <c r="P105" s="154"/>
      <c r="Q105" s="155"/>
      <c r="R105" s="163"/>
      <c r="S105" s="306"/>
      <c r="T105" s="295" t="str">
        <f t="shared" si="4"/>
        <v>INSERT INTO `mpt2`.`Messages` (`PlcID`, `MessageNum`, `MessageText`) VALUES ('10203', '89', '42 TR 101/41 - Температура из рубашки продуктового холодильника Е-10');</v>
      </c>
    </row>
    <row r="106" spans="1:20" ht="10.5" customHeight="1">
      <c r="A106" s="361"/>
      <c r="B106" s="364"/>
      <c r="C106" s="6">
        <v>10</v>
      </c>
      <c r="D106" s="24">
        <v>90</v>
      </c>
      <c r="E106" s="69" t="s">
        <v>176</v>
      </c>
      <c r="F106" s="69" t="s">
        <v>90</v>
      </c>
      <c r="G106" s="61">
        <v>0</v>
      </c>
      <c r="H106" s="70">
        <v>300</v>
      </c>
      <c r="I106" s="106" t="s">
        <v>61</v>
      </c>
      <c r="J106" s="61">
        <v>125</v>
      </c>
      <c r="K106" s="70">
        <v>210</v>
      </c>
      <c r="L106" s="109"/>
      <c r="M106" s="110"/>
      <c r="N106" s="107"/>
      <c r="O106" s="120"/>
      <c r="P106" s="154"/>
      <c r="Q106" s="155"/>
      <c r="R106" s="163"/>
      <c r="S106" s="306"/>
      <c r="T106" s="295" t="str">
        <f t="shared" si="4"/>
        <v>INSERT INTO `mpt2`.`Messages` (`PlcID`, `MessageNum`, `MessageText`) VALUES ('10203', '90', '42 TR 101/43 - Температура конденсата из рубашки отделителя высого давления V-8');</v>
      </c>
    </row>
    <row r="107" spans="1:20" ht="10.5" customHeight="1">
      <c r="A107" s="361"/>
      <c r="B107" s="364"/>
      <c r="C107" s="6">
        <v>11</v>
      </c>
      <c r="D107" s="6">
        <v>91</v>
      </c>
      <c r="E107" s="245" t="s">
        <v>137</v>
      </c>
      <c r="F107" s="69" t="s">
        <v>92</v>
      </c>
      <c r="G107" s="61">
        <v>0</v>
      </c>
      <c r="H107" s="247">
        <v>200</v>
      </c>
      <c r="I107" s="106" t="s">
        <v>61</v>
      </c>
      <c r="J107" s="61">
        <v>0</v>
      </c>
      <c r="K107" s="62">
        <v>0</v>
      </c>
      <c r="L107" s="109"/>
      <c r="M107" s="110"/>
      <c r="N107" s="107"/>
      <c r="O107" s="120"/>
      <c r="P107" s="154"/>
      <c r="Q107" s="155"/>
      <c r="R107" s="163"/>
      <c r="S107" s="306"/>
      <c r="T107" s="295" t="str">
        <f t="shared" si="4"/>
        <v>INSERT INTO `mpt2`.`Messages` (`PlcID`, `MessageNum`, `MessageText`) VALUES ('10203', '91', '42 TR 101/52 - Температура конденсата в рубашке нагнетательных тр-дов Р-0,Р-1,Р-2');</v>
      </c>
    </row>
    <row r="108" spans="1:20" ht="10.5" customHeight="1">
      <c r="A108" s="361"/>
      <c r="B108" s="364"/>
      <c r="C108" s="6">
        <v>12</v>
      </c>
      <c r="D108" s="24">
        <v>92</v>
      </c>
      <c r="E108" s="241" t="s">
        <v>417</v>
      </c>
      <c r="F108" s="241" t="s">
        <v>421</v>
      </c>
      <c r="G108" s="61"/>
      <c r="H108" s="70"/>
      <c r="I108" s="106"/>
      <c r="J108" s="61"/>
      <c r="K108" s="62"/>
      <c r="L108" s="107"/>
      <c r="M108" s="62"/>
      <c r="N108" s="107"/>
      <c r="O108" s="120"/>
      <c r="P108" s="154"/>
      <c r="Q108" s="155"/>
      <c r="R108" s="397" t="s">
        <v>416</v>
      </c>
      <c r="S108" s="303"/>
      <c r="T108" s="295" t="str">
        <f t="shared" si="4"/>
        <v>INSERT INTO `mpt2`.`Messages` (`PlcID`, `MessageNum`, `MessageText`) VALUES ('10203', '92', '41 TR-101/48 - Температура режущего устройства Z-1');</v>
      </c>
    </row>
    <row r="109" spans="1:20" ht="10.5" customHeight="1">
      <c r="A109" s="361"/>
      <c r="B109" s="364"/>
      <c r="C109" s="6">
        <v>13</v>
      </c>
      <c r="D109" s="6">
        <v>93</v>
      </c>
      <c r="E109" s="241" t="s">
        <v>418</v>
      </c>
      <c r="F109" s="241" t="s">
        <v>421</v>
      </c>
      <c r="G109" s="61"/>
      <c r="H109" s="70"/>
      <c r="I109" s="106"/>
      <c r="J109" s="61"/>
      <c r="K109" s="62"/>
      <c r="L109" s="107"/>
      <c r="M109" s="120"/>
      <c r="N109" s="107"/>
      <c r="O109" s="120"/>
      <c r="P109" s="154"/>
      <c r="Q109" s="155"/>
      <c r="R109" s="398"/>
      <c r="S109" s="304"/>
      <c r="T109" s="295" t="str">
        <f t="shared" si="4"/>
        <v>INSERT INTO `mpt2`.`Messages` (`PlcID`, `MessageNum`, `MessageText`) VALUES ('10203', '93', '42 TR-101/48 - Температура режущего устройства Z-1');</v>
      </c>
    </row>
    <row r="110" spans="1:20" ht="10.5" customHeight="1">
      <c r="A110" s="361"/>
      <c r="B110" s="364"/>
      <c r="C110" s="6">
        <v>14</v>
      </c>
      <c r="D110" s="24">
        <v>94</v>
      </c>
      <c r="E110" s="242" t="s">
        <v>419</v>
      </c>
      <c r="F110" s="241" t="s">
        <v>421</v>
      </c>
      <c r="G110" s="61"/>
      <c r="H110" s="70"/>
      <c r="I110" s="106"/>
      <c r="J110" s="107"/>
      <c r="K110" s="120"/>
      <c r="L110" s="107"/>
      <c r="M110" s="120"/>
      <c r="N110" s="107"/>
      <c r="O110" s="120"/>
      <c r="P110" s="154"/>
      <c r="Q110" s="155"/>
      <c r="R110" s="398"/>
      <c r="S110" s="304"/>
      <c r="T110" s="295" t="str">
        <f t="shared" si="4"/>
        <v>INSERT INTO `mpt2`.`Messages` (`PlcID`, `MessageNum`, `MessageText`) VALUES ('10203', '94', '43 TR-101/48 - Температура режущего устройства Z-1');</v>
      </c>
    </row>
    <row r="111" spans="1:20" ht="10.5" customHeight="1" thickBot="1">
      <c r="A111" s="362"/>
      <c r="B111" s="365"/>
      <c r="C111" s="14">
        <v>15</v>
      </c>
      <c r="D111" s="14">
        <v>95</v>
      </c>
      <c r="E111" s="243" t="s">
        <v>420</v>
      </c>
      <c r="F111" s="244" t="s">
        <v>421</v>
      </c>
      <c r="G111" s="111"/>
      <c r="H111" s="112"/>
      <c r="I111" s="113"/>
      <c r="J111" s="111"/>
      <c r="K111" s="139"/>
      <c r="L111" s="116"/>
      <c r="M111" s="140"/>
      <c r="N111" s="116"/>
      <c r="O111" s="140"/>
      <c r="P111" s="157"/>
      <c r="Q111" s="158"/>
      <c r="R111" s="399"/>
      <c r="S111" s="304"/>
      <c r="T111" s="295" t="str">
        <f t="shared" si="4"/>
        <v>INSERT INTO `mpt2`.`Messages` (`PlcID`, `MessageNum`, `MessageText`) VALUES ('10203', '95', '44 TR-101/48 - Температура режущего устройства Z-1');</v>
      </c>
    </row>
    <row r="112" spans="1:20" ht="10.5" customHeight="1" thickTop="1">
      <c r="A112" s="369" t="s">
        <v>36</v>
      </c>
      <c r="B112" s="372">
        <v>9</v>
      </c>
      <c r="C112" s="5">
        <v>0</v>
      </c>
      <c r="D112" s="24">
        <v>96</v>
      </c>
      <c r="E112" s="82" t="s">
        <v>177</v>
      </c>
      <c r="F112" s="82" t="s">
        <v>45</v>
      </c>
      <c r="G112" s="102">
        <v>0</v>
      </c>
      <c r="H112" s="103">
        <v>100</v>
      </c>
      <c r="I112" s="71" t="s">
        <v>46</v>
      </c>
      <c r="J112" s="102">
        <v>30</v>
      </c>
      <c r="K112" s="104">
        <v>50</v>
      </c>
      <c r="L112" s="102"/>
      <c r="M112" s="104"/>
      <c r="N112" s="105"/>
      <c r="O112" s="104"/>
      <c r="P112" s="151"/>
      <c r="Q112" s="152"/>
      <c r="R112" s="153"/>
      <c r="S112" s="305"/>
      <c r="T112" s="295" t="str">
        <f t="shared" si="4"/>
        <v>INSERT INTO `mpt2`.`Messages` (`PlcID`, `MessageNum`, `MessageText`) VALUES ('10203', '96', '43 PRC-4 - Давление в ресивере V-1');</v>
      </c>
    </row>
    <row r="113" spans="1:20" ht="10.5" customHeight="1">
      <c r="A113" s="370"/>
      <c r="B113" s="334"/>
      <c r="C113" s="6">
        <v>1</v>
      </c>
      <c r="D113" s="6">
        <v>97</v>
      </c>
      <c r="E113" s="69" t="s">
        <v>178</v>
      </c>
      <c r="F113" s="69" t="s">
        <v>47</v>
      </c>
      <c r="G113" s="61">
        <v>0</v>
      </c>
      <c r="H113" s="70">
        <v>60</v>
      </c>
      <c r="I113" s="106" t="s">
        <v>48</v>
      </c>
      <c r="J113" s="61">
        <v>18</v>
      </c>
      <c r="K113" s="62">
        <v>25</v>
      </c>
      <c r="L113" s="61"/>
      <c r="M113" s="62"/>
      <c r="N113" s="107"/>
      <c r="O113" s="62"/>
      <c r="P113" s="154"/>
      <c r="Q113" s="155"/>
      <c r="R113" s="156"/>
      <c r="S113" s="305"/>
      <c r="T113" s="295" t="str">
        <f t="shared" si="4"/>
        <v>INSERT INTO `mpt2`.`Messages` (`PlcID`, `MessageNum`, `MessageText`) VALUES ('10203', '97', '43 PR-45 - Давление в отделителе высокого давления V-8');</v>
      </c>
    </row>
    <row r="114" spans="1:20" ht="10.5" customHeight="1">
      <c r="A114" s="370"/>
      <c r="B114" s="334"/>
      <c r="C114" s="6">
        <v>2</v>
      </c>
      <c r="D114" s="24">
        <v>98</v>
      </c>
      <c r="E114" s="69" t="s">
        <v>179</v>
      </c>
      <c r="F114" s="69" t="s">
        <v>49</v>
      </c>
      <c r="G114" s="61">
        <v>0</v>
      </c>
      <c r="H114" s="70">
        <v>400</v>
      </c>
      <c r="I114" s="106" t="s">
        <v>46</v>
      </c>
      <c r="J114" s="61">
        <v>30</v>
      </c>
      <c r="K114" s="62">
        <v>100</v>
      </c>
      <c r="L114" s="61"/>
      <c r="M114" s="62"/>
      <c r="N114" s="107"/>
      <c r="O114" s="62"/>
      <c r="P114" s="154"/>
      <c r="Q114" s="155"/>
      <c r="R114" s="156" t="s">
        <v>50</v>
      </c>
      <c r="S114" s="305"/>
      <c r="T114" s="295" t="str">
        <f t="shared" si="4"/>
        <v>INSERT INTO `mpt2`.`Messages` (`PlcID`, `MessageNum`, `MessageText`) VALUES ('10203', '98', '43 PR-46 - Давление в отделителе низкого давления V-9');</v>
      </c>
    </row>
    <row r="115" spans="1:20" ht="10.5" customHeight="1">
      <c r="A115" s="370"/>
      <c r="B115" s="334"/>
      <c r="C115" s="6">
        <v>3</v>
      </c>
      <c r="D115" s="6">
        <v>99</v>
      </c>
      <c r="E115" s="69" t="s">
        <v>180</v>
      </c>
      <c r="F115" s="69" t="s">
        <v>53</v>
      </c>
      <c r="G115" s="61">
        <v>0</v>
      </c>
      <c r="H115" s="70">
        <v>100</v>
      </c>
      <c r="I115" s="106" t="s">
        <v>52</v>
      </c>
      <c r="J115" s="61">
        <v>15</v>
      </c>
      <c r="K115" s="62">
        <v>40</v>
      </c>
      <c r="L115" s="61">
        <v>10</v>
      </c>
      <c r="M115" s="62">
        <v>55</v>
      </c>
      <c r="N115" s="107"/>
      <c r="O115" s="62"/>
      <c r="P115" s="154"/>
      <c r="Q115" s="155"/>
      <c r="R115" s="156" t="s">
        <v>54</v>
      </c>
      <c r="S115" s="305"/>
      <c r="T115" s="295" t="str">
        <f t="shared" si="4"/>
        <v>INSERT INTO `mpt2`.`Messages` (`PlcID`, `MessageNum`, `MessageText`) VALUES ('10203', '99', '43 LRCA-4 - Уровень п/э в отделителе выкого давления V-8');</v>
      </c>
    </row>
    <row r="116" spans="1:20" ht="10.5" customHeight="1">
      <c r="A116" s="370"/>
      <c r="B116" s="334"/>
      <c r="C116" s="6">
        <v>4</v>
      </c>
      <c r="D116" s="24">
        <v>100</v>
      </c>
      <c r="E116" s="69" t="s">
        <v>181</v>
      </c>
      <c r="F116" s="69" t="s">
        <v>51</v>
      </c>
      <c r="G116" s="61">
        <v>0</v>
      </c>
      <c r="H116" s="70">
        <v>100</v>
      </c>
      <c r="I116" s="106" t="s">
        <v>52</v>
      </c>
      <c r="J116" s="61">
        <v>10</v>
      </c>
      <c r="K116" s="62">
        <v>60</v>
      </c>
      <c r="L116" s="61">
        <v>10</v>
      </c>
      <c r="M116" s="62">
        <v>60</v>
      </c>
      <c r="N116" s="107"/>
      <c r="O116" s="62"/>
      <c r="P116" s="154"/>
      <c r="Q116" s="155"/>
      <c r="R116" s="156" t="s">
        <v>54</v>
      </c>
      <c r="S116" s="305"/>
      <c r="T116" s="295" t="str">
        <f t="shared" si="4"/>
        <v>INSERT INTO `mpt2`.`Messages` (`PlcID`, `MessageNum`, `MessageText`) VALUES ('10203', '100', '43 LRA-6 - Уровень п/э в отделителе низкого давления V-9');</v>
      </c>
    </row>
    <row r="117" spans="1:20" ht="10.5" customHeight="1">
      <c r="A117" s="370"/>
      <c r="B117" s="334"/>
      <c r="C117" s="6">
        <v>5</v>
      </c>
      <c r="D117" s="6">
        <v>101</v>
      </c>
      <c r="E117" s="69" t="s">
        <v>144</v>
      </c>
      <c r="F117" s="69" t="s">
        <v>55</v>
      </c>
      <c r="G117" s="61">
        <v>0</v>
      </c>
      <c r="H117" s="70">
        <v>75</v>
      </c>
      <c r="I117" s="106" t="s">
        <v>56</v>
      </c>
      <c r="J117" s="61">
        <v>27</v>
      </c>
      <c r="K117" s="62">
        <v>60</v>
      </c>
      <c r="L117" s="61"/>
      <c r="M117" s="62"/>
      <c r="N117" s="107"/>
      <c r="O117" s="62"/>
      <c r="P117" s="154"/>
      <c r="Q117" s="155"/>
      <c r="R117" s="156"/>
      <c r="S117" s="305"/>
      <c r="T117" s="295" t="str">
        <f t="shared" si="4"/>
        <v>INSERT INTO `mpt2`.`Messages` (`PlcID`, `MessageNum`, `MessageText`) VALUES ('10203', '101', '43 FR-13 - Расход конденсата к режущему устройству Z-1');</v>
      </c>
    </row>
    <row r="118" spans="1:20" ht="10.5" customHeight="1">
      <c r="A118" s="370"/>
      <c r="B118" s="334"/>
      <c r="C118" s="6">
        <v>6</v>
      </c>
      <c r="D118" s="24">
        <v>102</v>
      </c>
      <c r="E118" s="69" t="s">
        <v>182</v>
      </c>
      <c r="F118" s="69" t="s">
        <v>58</v>
      </c>
      <c r="G118" s="61">
        <v>0</v>
      </c>
      <c r="H118" s="70">
        <v>2000</v>
      </c>
      <c r="I118" s="106" t="s">
        <v>57</v>
      </c>
      <c r="J118" s="61">
        <v>0</v>
      </c>
      <c r="K118" s="62">
        <v>1630</v>
      </c>
      <c r="L118" s="61"/>
      <c r="M118" s="62"/>
      <c r="N118" s="107"/>
      <c r="O118" s="62"/>
      <c r="P118" s="154"/>
      <c r="Q118" s="155"/>
      <c r="R118" s="156"/>
      <c r="S118" s="305"/>
      <c r="T118" s="295" t="str">
        <f t="shared" si="4"/>
        <v>INSERT INTO `mpt2`.`Messages` (`PlcID`, `MessageNum`, `MessageText`) VALUES ('10203', '102', '43 FR-5 - Расход возвратного газа из С-1 в рессивер V-2');</v>
      </c>
    </row>
    <row r="119" spans="1:20" ht="10.5" customHeight="1">
      <c r="A119" s="370"/>
      <c r="B119" s="334"/>
      <c r="C119" s="6">
        <v>7</v>
      </c>
      <c r="D119" s="6">
        <v>103</v>
      </c>
      <c r="E119" s="69" t="s">
        <v>183</v>
      </c>
      <c r="F119" s="69" t="s">
        <v>93</v>
      </c>
      <c r="G119" s="61">
        <v>0</v>
      </c>
      <c r="H119" s="70">
        <v>300</v>
      </c>
      <c r="I119" s="106" t="s">
        <v>61</v>
      </c>
      <c r="J119" s="61">
        <v>0</v>
      </c>
      <c r="K119" s="62">
        <v>240</v>
      </c>
      <c r="L119" s="61"/>
      <c r="M119" s="62">
        <v>170</v>
      </c>
      <c r="N119" s="107"/>
      <c r="O119" s="62">
        <v>240</v>
      </c>
      <c r="P119" s="154"/>
      <c r="Q119" s="155"/>
      <c r="R119" s="156"/>
      <c r="S119" s="305"/>
      <c r="T119" s="295" t="str">
        <f t="shared" si="4"/>
        <v>INSERT INTO `mpt2`.`Messages` (`PlcID`, `MessageNum`, `MessageText`) VALUES ('10203', '103', '43 TRCSA-5 - Температура стенки реактора V-7');</v>
      </c>
    </row>
    <row r="120" spans="1:20" ht="10.5" customHeight="1">
      <c r="A120" s="370"/>
      <c r="B120" s="334"/>
      <c r="C120" s="6">
        <v>8</v>
      </c>
      <c r="D120" s="24">
        <v>104</v>
      </c>
      <c r="E120" s="69" t="s">
        <v>184</v>
      </c>
      <c r="F120" s="69" t="s">
        <v>62</v>
      </c>
      <c r="G120" s="61">
        <v>0</v>
      </c>
      <c r="H120" s="70">
        <v>300</v>
      </c>
      <c r="I120" s="106" t="s">
        <v>61</v>
      </c>
      <c r="J120" s="61">
        <v>130</v>
      </c>
      <c r="K120" s="62">
        <v>280</v>
      </c>
      <c r="L120" s="61"/>
      <c r="M120" s="62"/>
      <c r="N120" s="107"/>
      <c r="O120" s="62"/>
      <c r="P120" s="154"/>
      <c r="Q120" s="155"/>
      <c r="R120" s="156"/>
      <c r="S120" s="305"/>
      <c r="T120" s="295" t="str">
        <f t="shared" si="4"/>
        <v>INSERT INTO `mpt2`.`Messages` (`PlcID`, `MessageNum`, `MessageText`) VALUES ('10203', '104', '43 TRC-6 - Температура на выходе из продуктового холодильника E-10');</v>
      </c>
    </row>
    <row r="121" spans="1:20" ht="10.5" customHeight="1">
      <c r="A121" s="370"/>
      <c r="B121" s="334"/>
      <c r="C121" s="336">
        <v>9</v>
      </c>
      <c r="D121" s="336">
        <v>105</v>
      </c>
      <c r="E121" s="330" t="s">
        <v>185</v>
      </c>
      <c r="F121" s="10" t="s">
        <v>279</v>
      </c>
      <c r="G121" s="393">
        <v>0</v>
      </c>
      <c r="H121" s="395">
        <v>200</v>
      </c>
      <c r="I121" s="385" t="s">
        <v>63</v>
      </c>
      <c r="J121" s="51">
        <v>125</v>
      </c>
      <c r="K121" s="60">
        <v>145</v>
      </c>
      <c r="L121" s="51"/>
      <c r="M121" s="60">
        <v>146</v>
      </c>
      <c r="N121" s="13"/>
      <c r="O121" s="60"/>
      <c r="P121" s="22"/>
      <c r="Q121" s="36"/>
      <c r="R121" s="6" t="s">
        <v>285</v>
      </c>
      <c r="S121" s="3"/>
      <c r="T121" s="296" t="str">
        <f>"INSERT INTO `mpt2`.`Messages` (`PlcID`, `MessageNum`, `MessageText`) VALUES ('10203', '"&amp;D121&amp;"', '"&amp;E121&amp;" - "&amp;"Давление в реакторе V-7"&amp;"');"</f>
        <v>INSERT INTO `mpt2`.`Messages` (`PlcID`, `MessageNum`, `MessageText`) VALUES ('10203', '105', '43 PRA-43 - Давление в реакторе V-7');</v>
      </c>
    </row>
    <row r="122" spans="1:20" ht="10.5" customHeight="1">
      <c r="A122" s="370"/>
      <c r="B122" s="334"/>
      <c r="C122" s="337"/>
      <c r="D122" s="337"/>
      <c r="E122" s="331"/>
      <c r="F122" s="10" t="s">
        <v>280</v>
      </c>
      <c r="G122" s="394"/>
      <c r="H122" s="396"/>
      <c r="I122" s="386"/>
      <c r="J122" s="51">
        <v>115</v>
      </c>
      <c r="K122" s="60">
        <v>135</v>
      </c>
      <c r="L122" s="51"/>
      <c r="M122" s="60">
        <v>136</v>
      </c>
      <c r="N122" s="13"/>
      <c r="O122" s="60"/>
      <c r="P122" s="22"/>
      <c r="Q122" s="36"/>
      <c r="R122" s="6" t="s">
        <v>286</v>
      </c>
      <c r="S122" s="3"/>
      <c r="T122" s="295"/>
    </row>
    <row r="123" spans="1:20" ht="10.5" customHeight="1">
      <c r="A123" s="370"/>
      <c r="B123" s="334"/>
      <c r="C123" s="337"/>
      <c r="D123" s="337"/>
      <c r="E123" s="331"/>
      <c r="F123" s="10" t="s">
        <v>281</v>
      </c>
      <c r="G123" s="394"/>
      <c r="H123" s="396"/>
      <c r="I123" s="386"/>
      <c r="J123" s="51">
        <v>140</v>
      </c>
      <c r="K123" s="60">
        <v>155</v>
      </c>
      <c r="L123" s="51"/>
      <c r="M123" s="60">
        <v>156</v>
      </c>
      <c r="N123" s="13"/>
      <c r="O123" s="60"/>
      <c r="P123" s="22"/>
      <c r="Q123" s="36"/>
      <c r="R123" s="6" t="s">
        <v>287</v>
      </c>
      <c r="S123" s="3"/>
      <c r="T123" s="295"/>
    </row>
    <row r="124" spans="1:20" ht="10.5" customHeight="1">
      <c r="A124" s="370"/>
      <c r="B124" s="334"/>
      <c r="C124" s="337"/>
      <c r="D124" s="337"/>
      <c r="E124" s="331"/>
      <c r="F124" s="10" t="s">
        <v>282</v>
      </c>
      <c r="G124" s="394"/>
      <c r="H124" s="396"/>
      <c r="I124" s="386"/>
      <c r="J124" s="51">
        <v>125</v>
      </c>
      <c r="K124" s="60">
        <v>150</v>
      </c>
      <c r="L124" s="51"/>
      <c r="M124" s="60">
        <v>151</v>
      </c>
      <c r="N124" s="13"/>
      <c r="O124" s="60"/>
      <c r="P124" s="22"/>
      <c r="Q124" s="36"/>
      <c r="R124" s="6" t="s">
        <v>288</v>
      </c>
      <c r="S124" s="3"/>
    </row>
    <row r="125" spans="1:20" ht="10.5" customHeight="1">
      <c r="A125" s="370"/>
      <c r="B125" s="334"/>
      <c r="C125" s="337"/>
      <c r="D125" s="337"/>
      <c r="E125" s="331"/>
      <c r="F125" s="10" t="s">
        <v>283</v>
      </c>
      <c r="G125" s="394"/>
      <c r="H125" s="396"/>
      <c r="I125" s="386"/>
      <c r="J125" s="51">
        <v>122.5</v>
      </c>
      <c r="K125" s="60">
        <v>147.5</v>
      </c>
      <c r="L125" s="51"/>
      <c r="M125" s="60">
        <v>148.5</v>
      </c>
      <c r="N125" s="13"/>
      <c r="O125" s="60"/>
      <c r="P125" s="22"/>
      <c r="Q125" s="36"/>
      <c r="R125" s="6" t="s">
        <v>289</v>
      </c>
      <c r="S125" s="3"/>
    </row>
    <row r="126" spans="1:20" ht="10.5" customHeight="1">
      <c r="A126" s="370"/>
      <c r="B126" s="334"/>
      <c r="C126" s="337"/>
      <c r="D126" s="337"/>
      <c r="E126" s="331"/>
      <c r="F126" s="327" t="s">
        <v>473</v>
      </c>
      <c r="G126" s="394"/>
      <c r="H126" s="396"/>
      <c r="I126" s="386"/>
      <c r="J126" s="321">
        <v>115</v>
      </c>
      <c r="K126" s="322">
        <v>145</v>
      </c>
      <c r="L126" s="321"/>
      <c r="M126" s="322">
        <v>147</v>
      </c>
      <c r="N126" s="323"/>
      <c r="O126" s="322"/>
      <c r="P126" s="324"/>
      <c r="Q126" s="325"/>
      <c r="R126" s="326" t="s">
        <v>443</v>
      </c>
      <c r="S126" s="3"/>
    </row>
    <row r="127" spans="1:20" ht="10.5" customHeight="1">
      <c r="A127" s="370"/>
      <c r="B127" s="334"/>
      <c r="C127" s="349"/>
      <c r="D127" s="349"/>
      <c r="E127" s="332"/>
      <c r="F127" s="10" t="s">
        <v>284</v>
      </c>
      <c r="G127" s="394"/>
      <c r="H127" s="396"/>
      <c r="I127" s="386"/>
      <c r="J127" s="51">
        <v>138</v>
      </c>
      <c r="K127" s="60">
        <v>155</v>
      </c>
      <c r="L127" s="51"/>
      <c r="M127" s="60">
        <v>156</v>
      </c>
      <c r="N127" s="13"/>
      <c r="O127" s="60"/>
      <c r="P127" s="22"/>
      <c r="Q127" s="36"/>
      <c r="R127" s="6" t="s">
        <v>290</v>
      </c>
      <c r="S127" s="3"/>
    </row>
    <row r="128" spans="1:20" ht="10.5" customHeight="1">
      <c r="A128" s="370"/>
      <c r="B128" s="334"/>
      <c r="C128" s="6">
        <v>10</v>
      </c>
      <c r="D128" s="24">
        <v>106</v>
      </c>
      <c r="E128" s="176" t="s">
        <v>186</v>
      </c>
      <c r="F128" s="176" t="s">
        <v>64</v>
      </c>
      <c r="G128" s="61">
        <v>0</v>
      </c>
      <c r="H128" s="108">
        <v>350</v>
      </c>
      <c r="I128" s="106" t="s">
        <v>65</v>
      </c>
      <c r="J128" s="61">
        <v>32</v>
      </c>
      <c r="K128" s="62">
        <v>320</v>
      </c>
      <c r="L128" s="61"/>
      <c r="M128" s="62"/>
      <c r="N128" s="107"/>
      <c r="O128" s="62"/>
      <c r="P128" s="154"/>
      <c r="Q128" s="155"/>
      <c r="R128" s="156"/>
      <c r="S128" s="305"/>
      <c r="T128" s="295" t="str">
        <f>"INSERT INTO `mpt2`.`Messages` (`PlcID`, `MessageNum`, `MessageText`) VALUES ('10203', '"&amp;D128&amp;"', '"&amp;E128&amp;" - "&amp;F128&amp;"');"</f>
        <v>INSERT INTO `mpt2`.`Messages` (`PlcID`, `MessageNum`, `MessageText`) VALUES ('10203', '106', '43 SR -1 - Число оборотов компрессора C-2');</v>
      </c>
    </row>
    <row r="129" spans="1:20" ht="10.5" customHeight="1">
      <c r="A129" s="370"/>
      <c r="B129" s="334"/>
      <c r="C129" s="6">
        <v>11</v>
      </c>
      <c r="D129" s="6">
        <v>107</v>
      </c>
      <c r="E129" s="176" t="s">
        <v>187</v>
      </c>
      <c r="F129" s="176" t="s">
        <v>66</v>
      </c>
      <c r="G129" s="61">
        <v>0</v>
      </c>
      <c r="H129" s="108">
        <v>350</v>
      </c>
      <c r="I129" s="106" t="s">
        <v>65</v>
      </c>
      <c r="J129" s="61">
        <v>32</v>
      </c>
      <c r="K129" s="62">
        <v>320</v>
      </c>
      <c r="L129" s="61"/>
      <c r="M129" s="62"/>
      <c r="N129" s="107"/>
      <c r="O129" s="62"/>
      <c r="P129" s="154"/>
      <c r="Q129" s="155"/>
      <c r="R129" s="156"/>
      <c r="S129" s="305"/>
      <c r="T129" s="295" t="str">
        <f>"INSERT INTO `mpt2`.`Messages` (`PlcID`, `MessageNum`, `MessageText`) VALUES ('10203', '"&amp;D129&amp;"', '"&amp;E129&amp;" - "&amp;F129&amp;"');"</f>
        <v>INSERT INTO `mpt2`.`Messages` (`PlcID`, `MessageNum`, `MessageText`) VALUES ('10203', '107', '43 SR -2 - Число оборотов компрессора второго каскада C-3/2');</v>
      </c>
    </row>
    <row r="130" spans="1:20" ht="10.5" customHeight="1">
      <c r="A130" s="370"/>
      <c r="B130" s="334"/>
      <c r="C130" s="6">
        <v>12</v>
      </c>
      <c r="D130" s="24">
        <v>108</v>
      </c>
      <c r="E130" s="193" t="s">
        <v>138</v>
      </c>
      <c r="F130" s="193" t="s">
        <v>68</v>
      </c>
      <c r="G130" s="61">
        <v>0</v>
      </c>
      <c r="H130" s="70">
        <v>25</v>
      </c>
      <c r="I130" s="106" t="s">
        <v>63</v>
      </c>
      <c r="J130" s="61">
        <v>5</v>
      </c>
      <c r="K130" s="62">
        <v>13</v>
      </c>
      <c r="L130" s="107"/>
      <c r="M130" s="62">
        <v>13</v>
      </c>
      <c r="N130" s="107"/>
      <c r="O130" s="62">
        <v>14</v>
      </c>
      <c r="P130" s="154"/>
      <c r="Q130" s="155"/>
      <c r="R130" s="156"/>
      <c r="S130" s="305"/>
      <c r="T130" s="295" t="str">
        <f>"INSERT INTO `mpt2`.`Messages` (`PlcID`, `MessageNum`, `MessageText`) VALUES ('10203', '"&amp;D130&amp;"', '"&amp;E130&amp;" - "&amp;F130&amp;"');"</f>
        <v>INSERT INTO `mpt2`.`Messages` (`PlcID`, `MessageNum`, `MessageText`) VALUES ('10203', '108', '43 PRSA-84 - Давление нагнетания экструзионного насоса P-4');</v>
      </c>
    </row>
    <row r="131" spans="1:20" ht="10.5" customHeight="1">
      <c r="A131" s="370"/>
      <c r="B131" s="334"/>
      <c r="C131" s="6">
        <v>13</v>
      </c>
      <c r="D131" s="6">
        <v>109</v>
      </c>
      <c r="E131" s="184" t="s">
        <v>325</v>
      </c>
      <c r="F131" s="185" t="s">
        <v>323</v>
      </c>
      <c r="G131" s="51">
        <v>0</v>
      </c>
      <c r="H131" s="56">
        <v>2</v>
      </c>
      <c r="I131" s="11" t="s">
        <v>63</v>
      </c>
      <c r="J131" s="83">
        <v>0.95</v>
      </c>
      <c r="K131" s="199">
        <v>1.05</v>
      </c>
      <c r="L131" s="109"/>
      <c r="M131" s="110"/>
      <c r="N131" s="107"/>
      <c r="O131" s="62"/>
      <c r="P131" s="154"/>
      <c r="Q131" s="155"/>
      <c r="R131" s="156"/>
      <c r="S131" s="305"/>
      <c r="T131" s="295" t="str">
        <f>"INSERT INTO `mpt2`.`Messages` (`PlcID`, `MessageNum`, `MessageText`) VALUES ('10203', '"&amp;D131&amp;"', '"&amp;E131&amp;" - "&amp;F131&amp;"');"</f>
        <v>INSERT INTO `mpt2`.`Messages` (`PlcID`, `MessageNum`, `MessageText`) VALUES ('10203', '109', '43 PR-10 - Давление в ресивере V-2');</v>
      </c>
    </row>
    <row r="132" spans="1:20" ht="10.5" customHeight="1">
      <c r="A132" s="370"/>
      <c r="B132" s="334"/>
      <c r="C132" s="6">
        <v>14</v>
      </c>
      <c r="D132" s="24">
        <v>110</v>
      </c>
      <c r="E132" s="241"/>
      <c r="F132" s="242" t="s">
        <v>434</v>
      </c>
      <c r="G132" s="61"/>
      <c r="H132" s="70"/>
      <c r="I132" s="106"/>
      <c r="J132" s="61"/>
      <c r="K132" s="70"/>
      <c r="L132" s="109"/>
      <c r="M132" s="110"/>
      <c r="N132" s="107"/>
      <c r="O132" s="62"/>
      <c r="P132" s="154"/>
      <c r="Q132" s="155"/>
      <c r="R132" s="156"/>
      <c r="S132" s="305"/>
    </row>
    <row r="133" spans="1:20" ht="10.5" customHeight="1" thickBot="1">
      <c r="A133" s="371"/>
      <c r="B133" s="335"/>
      <c r="C133" s="14">
        <v>15</v>
      </c>
      <c r="D133" s="14">
        <v>111</v>
      </c>
      <c r="E133" s="88"/>
      <c r="F133" s="88"/>
      <c r="G133" s="111"/>
      <c r="H133" s="112"/>
      <c r="I133" s="113"/>
      <c r="J133" s="111"/>
      <c r="K133" s="112"/>
      <c r="L133" s="114"/>
      <c r="M133" s="115"/>
      <c r="N133" s="116"/>
      <c r="O133" s="117"/>
      <c r="P133" s="157"/>
      <c r="Q133" s="158"/>
      <c r="R133" s="159"/>
      <c r="S133" s="305"/>
    </row>
    <row r="134" spans="1:20" ht="10.5" customHeight="1" thickTop="1">
      <c r="A134" s="360" t="s">
        <v>36</v>
      </c>
      <c r="B134" s="363">
        <v>10</v>
      </c>
      <c r="C134" s="5">
        <v>0</v>
      </c>
      <c r="D134" s="24">
        <v>112</v>
      </c>
      <c r="E134" s="249" t="s">
        <v>188</v>
      </c>
      <c r="F134" s="82" t="s">
        <v>67</v>
      </c>
      <c r="G134" s="118">
        <v>-50</v>
      </c>
      <c r="H134" s="250">
        <v>100</v>
      </c>
      <c r="I134" s="71" t="s">
        <v>61</v>
      </c>
      <c r="J134" s="118">
        <v>5</v>
      </c>
      <c r="K134" s="104">
        <v>40</v>
      </c>
      <c r="L134" s="118"/>
      <c r="M134" s="104"/>
      <c r="N134" s="105"/>
      <c r="O134" s="119"/>
      <c r="P134" s="160"/>
      <c r="Q134" s="161"/>
      <c r="R134" s="162"/>
      <c r="S134" s="306"/>
      <c r="T134" s="295" t="str">
        <f t="shared" ref="T134:T146" si="5">"INSERT INTO `mpt2`.`Messages` (`PlcID`, `MessageNum`, `MessageText`) VALUES ('10203', '"&amp;D134&amp;"', '"&amp;E134&amp;" - "&amp;F134&amp;"');"</f>
        <v>INSERT INTO `mpt2`.`Messages` (`PlcID`, `MessageNum`, `MessageText`) VALUES ('10203', '112', '43 TR 101/1 - Температура на входе в рессивер V-2');</v>
      </c>
    </row>
    <row r="135" spans="1:20" ht="10.5" customHeight="1">
      <c r="A135" s="361"/>
      <c r="B135" s="364"/>
      <c r="C135" s="6">
        <v>1</v>
      </c>
      <c r="D135" s="6">
        <v>113</v>
      </c>
      <c r="E135" s="245" t="s">
        <v>189</v>
      </c>
      <c r="F135" s="69" t="s">
        <v>69</v>
      </c>
      <c r="G135" s="61">
        <v>0</v>
      </c>
      <c r="H135" s="247">
        <v>200</v>
      </c>
      <c r="I135" s="106" t="s">
        <v>61</v>
      </c>
      <c r="J135" s="61">
        <v>30</v>
      </c>
      <c r="K135" s="62">
        <v>60</v>
      </c>
      <c r="L135" s="61"/>
      <c r="M135" s="62"/>
      <c r="N135" s="107"/>
      <c r="O135" s="120"/>
      <c r="P135" s="154"/>
      <c r="Q135" s="155"/>
      <c r="R135" s="163"/>
      <c r="S135" s="306"/>
      <c r="T135" s="295" t="str">
        <f t="shared" si="5"/>
        <v>INSERT INTO `mpt2`.`Messages` (`PlcID`, `MessageNum`, `MessageText`) VALUES ('10203', '113', '43 TR 101/3 - Температура этилена на выходе из холодильников Е-7');</v>
      </c>
    </row>
    <row r="136" spans="1:20" ht="10.5" customHeight="1">
      <c r="A136" s="361"/>
      <c r="B136" s="364"/>
      <c r="C136" s="6">
        <v>2</v>
      </c>
      <c r="D136" s="24">
        <v>114</v>
      </c>
      <c r="E136" s="245" t="s">
        <v>190</v>
      </c>
      <c r="F136" s="69" t="s">
        <v>70</v>
      </c>
      <c r="G136" s="61">
        <v>0</v>
      </c>
      <c r="H136" s="247">
        <v>200</v>
      </c>
      <c r="I136" s="106" t="s">
        <v>61</v>
      </c>
      <c r="J136" s="61">
        <v>30</v>
      </c>
      <c r="K136" s="62">
        <v>50</v>
      </c>
      <c r="L136" s="61"/>
      <c r="M136" s="62"/>
      <c r="N136" s="107"/>
      <c r="O136" s="120"/>
      <c r="P136" s="154"/>
      <c r="Q136" s="155"/>
      <c r="R136" s="163"/>
      <c r="S136" s="306"/>
      <c r="T136" s="295" t="str">
        <f t="shared" si="5"/>
        <v>INSERT INTO `mpt2`.`Messages` (`PlcID`, `MessageNum`, `MessageText`) VALUES ('10203', '114', '43 TR 101/4 - Температура на выходе из смесительной ёмкости V-5');</v>
      </c>
    </row>
    <row r="137" spans="1:20" ht="10.5" customHeight="1">
      <c r="A137" s="361"/>
      <c r="B137" s="364"/>
      <c r="C137" s="6">
        <v>3</v>
      </c>
      <c r="D137" s="6">
        <v>115</v>
      </c>
      <c r="E137" s="245" t="s">
        <v>191</v>
      </c>
      <c r="F137" s="69" t="s">
        <v>71</v>
      </c>
      <c r="G137" s="61">
        <v>0</v>
      </c>
      <c r="H137" s="247">
        <v>200</v>
      </c>
      <c r="I137" s="106" t="s">
        <v>61</v>
      </c>
      <c r="J137" s="61">
        <v>20</v>
      </c>
      <c r="K137" s="121">
        <v>80</v>
      </c>
      <c r="L137" s="61"/>
      <c r="M137" s="121"/>
      <c r="N137" s="107"/>
      <c r="O137" s="122"/>
      <c r="P137" s="154"/>
      <c r="Q137" s="155"/>
      <c r="R137" s="163"/>
      <c r="S137" s="306"/>
      <c r="T137" s="295" t="str">
        <f t="shared" si="5"/>
        <v>INSERT INTO `mpt2`.`Messages` (`PlcID`, `MessageNum`, `MessageText`) VALUES ('10203', '115', '43 TR 101/5 - Температура газа на входе в верхнюю часть реактора V-7 от С -3/1');</v>
      </c>
    </row>
    <row r="138" spans="1:20" ht="10.5" customHeight="1">
      <c r="A138" s="361"/>
      <c r="B138" s="364"/>
      <c r="C138" s="6">
        <v>4</v>
      </c>
      <c r="D138" s="24">
        <v>116</v>
      </c>
      <c r="E138" s="245" t="s">
        <v>192</v>
      </c>
      <c r="F138" s="69" t="s">
        <v>72</v>
      </c>
      <c r="G138" s="61">
        <v>0</v>
      </c>
      <c r="H138" s="247">
        <v>200</v>
      </c>
      <c r="I138" s="106" t="s">
        <v>61</v>
      </c>
      <c r="J138" s="61">
        <v>20</v>
      </c>
      <c r="K138" s="62">
        <v>80</v>
      </c>
      <c r="L138" s="109"/>
      <c r="M138" s="110"/>
      <c r="N138" s="107"/>
      <c r="O138" s="122"/>
      <c r="P138" s="154"/>
      <c r="Q138" s="155"/>
      <c r="R138" s="163"/>
      <c r="S138" s="306"/>
      <c r="T138" s="295" t="str">
        <f t="shared" si="5"/>
        <v>INSERT INTO `mpt2`.`Messages` (`PlcID`, `MessageNum`, `MessageText`) VALUES ('10203', '116', '43 TR 101/6 - Температура газа на входе в верхнюю часть реактора V-7 от С -3/2');</v>
      </c>
    </row>
    <row r="139" spans="1:20" ht="10.5" customHeight="1">
      <c r="A139" s="361"/>
      <c r="B139" s="364"/>
      <c r="C139" s="6">
        <v>5</v>
      </c>
      <c r="D139" s="6">
        <v>117</v>
      </c>
      <c r="E139" s="245" t="s">
        <v>193</v>
      </c>
      <c r="F139" s="69" t="s">
        <v>73</v>
      </c>
      <c r="G139" s="61">
        <v>0</v>
      </c>
      <c r="H139" s="247">
        <v>200</v>
      </c>
      <c r="I139" s="106" t="s">
        <v>61</v>
      </c>
      <c r="J139" s="61">
        <v>20</v>
      </c>
      <c r="K139" s="121">
        <v>80</v>
      </c>
      <c r="L139" s="109"/>
      <c r="M139" s="110"/>
      <c r="N139" s="107"/>
      <c r="O139" s="120"/>
      <c r="P139" s="154"/>
      <c r="Q139" s="155"/>
      <c r="R139" s="163"/>
      <c r="S139" s="306"/>
      <c r="T139" s="295" t="str">
        <f t="shared" si="5"/>
        <v>INSERT INTO `mpt2`.`Messages` (`PlcID`, `MessageNum`, `MessageText`) VALUES ('10203', '117', '43 TR 101/7 - Температура газа на входе в нижнюю часть реактора V-7 от С -3/1');</v>
      </c>
    </row>
    <row r="140" spans="1:20" ht="10.5" customHeight="1">
      <c r="A140" s="361"/>
      <c r="B140" s="364"/>
      <c r="C140" s="6">
        <v>6</v>
      </c>
      <c r="D140" s="24">
        <v>118</v>
      </c>
      <c r="E140" s="245" t="s">
        <v>194</v>
      </c>
      <c r="F140" s="69" t="s">
        <v>74</v>
      </c>
      <c r="G140" s="61">
        <v>0</v>
      </c>
      <c r="H140" s="247">
        <v>200</v>
      </c>
      <c r="I140" s="106" t="s">
        <v>61</v>
      </c>
      <c r="J140" s="118">
        <v>20</v>
      </c>
      <c r="K140" s="104">
        <v>80</v>
      </c>
      <c r="L140" s="109"/>
      <c r="M140" s="110"/>
      <c r="N140" s="107"/>
      <c r="O140" s="120"/>
      <c r="P140" s="154"/>
      <c r="Q140" s="155"/>
      <c r="R140" s="163"/>
      <c r="S140" s="306"/>
      <c r="T140" s="295" t="str">
        <f t="shared" si="5"/>
        <v>INSERT INTO `mpt2`.`Messages` (`PlcID`, `MessageNum`, `MessageText`) VALUES ('10203', '118', '43 TR 101/8 - Температура газа на входе в нижнюю часть реактора V-7 от С -3/2');</v>
      </c>
    </row>
    <row r="141" spans="1:20" ht="10.5" customHeight="1">
      <c r="A141" s="361"/>
      <c r="B141" s="364"/>
      <c r="C141" s="6">
        <v>7</v>
      </c>
      <c r="D141" s="6">
        <v>119</v>
      </c>
      <c r="E141" s="245" t="s">
        <v>195</v>
      </c>
      <c r="F141" s="69" t="s">
        <v>75</v>
      </c>
      <c r="G141" s="61">
        <v>0</v>
      </c>
      <c r="H141" s="247">
        <v>200</v>
      </c>
      <c r="I141" s="106" t="s">
        <v>61</v>
      </c>
      <c r="J141" s="118">
        <v>20</v>
      </c>
      <c r="K141" s="104">
        <v>80</v>
      </c>
      <c r="L141" s="109"/>
      <c r="M141" s="110"/>
      <c r="N141" s="107"/>
      <c r="O141" s="120"/>
      <c r="P141" s="154"/>
      <c r="Q141" s="155"/>
      <c r="R141" s="163"/>
      <c r="S141" s="306"/>
      <c r="T141" s="295" t="str">
        <f t="shared" si="5"/>
        <v>INSERT INTO `mpt2`.`Messages` (`PlcID`, `MessageNum`, `MessageText`) VALUES ('10203', '119', '43 TR 101/9 - Температура газа на входе в верхнюю часть реактора V-7');</v>
      </c>
    </row>
    <row r="142" spans="1:20" ht="10.5" customHeight="1">
      <c r="A142" s="361"/>
      <c r="B142" s="364"/>
      <c r="C142" s="6">
        <v>8</v>
      </c>
      <c r="D142" s="24">
        <v>120</v>
      </c>
      <c r="E142" s="245" t="s">
        <v>196</v>
      </c>
      <c r="F142" s="82" t="s">
        <v>76</v>
      </c>
      <c r="G142" s="118">
        <v>0</v>
      </c>
      <c r="H142" s="247">
        <v>200</v>
      </c>
      <c r="I142" s="106" t="s">
        <v>61</v>
      </c>
      <c r="J142" s="118">
        <v>20</v>
      </c>
      <c r="K142" s="104">
        <v>80</v>
      </c>
      <c r="L142" s="123"/>
      <c r="M142" s="124"/>
      <c r="N142" s="105"/>
      <c r="O142" s="120"/>
      <c r="P142" s="154"/>
      <c r="Q142" s="155"/>
      <c r="R142" s="163"/>
      <c r="S142" s="306"/>
      <c r="T142" s="295" t="str">
        <f t="shared" si="5"/>
        <v>INSERT INTO `mpt2`.`Messages` (`PlcID`, `MessageNum`, `MessageText`) VALUES ('10203', '120', '43 TR 101/10 - Температура газа на входе в нижнюю часть реактора V-7');</v>
      </c>
    </row>
    <row r="143" spans="1:20" ht="10.5" customHeight="1">
      <c r="A143" s="361"/>
      <c r="B143" s="364"/>
      <c r="C143" s="6">
        <v>9</v>
      </c>
      <c r="D143" s="6">
        <v>121</v>
      </c>
      <c r="E143" s="69" t="s">
        <v>197</v>
      </c>
      <c r="F143" s="82" t="s">
        <v>77</v>
      </c>
      <c r="G143" s="118">
        <v>0</v>
      </c>
      <c r="H143" s="103">
        <v>300</v>
      </c>
      <c r="I143" s="106" t="s">
        <v>61</v>
      </c>
      <c r="J143" s="61">
        <v>160</v>
      </c>
      <c r="K143" s="70">
        <v>170</v>
      </c>
      <c r="L143" s="109"/>
      <c r="M143" s="110"/>
      <c r="N143" s="107"/>
      <c r="O143" s="120"/>
      <c r="P143" s="154"/>
      <c r="Q143" s="155"/>
      <c r="R143" s="163"/>
      <c r="S143" s="306"/>
      <c r="T143" s="295" t="str">
        <f t="shared" si="5"/>
        <v>INSERT INTO `mpt2`.`Messages` (`PlcID`, `MessageNum`, `MessageText`) VALUES ('10203', '121', '43 TR 101/16 - Температура верхнего бандажа реактора V-7');</v>
      </c>
    </row>
    <row r="144" spans="1:20" ht="10.5" customHeight="1">
      <c r="A144" s="361"/>
      <c r="B144" s="364"/>
      <c r="C144" s="6">
        <v>10</v>
      </c>
      <c r="D144" s="24">
        <v>122</v>
      </c>
      <c r="E144" s="69" t="s">
        <v>198</v>
      </c>
      <c r="F144" s="69" t="s">
        <v>78</v>
      </c>
      <c r="G144" s="61">
        <v>0</v>
      </c>
      <c r="H144" s="70">
        <v>300</v>
      </c>
      <c r="I144" s="106" t="s">
        <v>61</v>
      </c>
      <c r="J144" s="61">
        <v>160</v>
      </c>
      <c r="K144" s="70">
        <v>170</v>
      </c>
      <c r="L144" s="109"/>
      <c r="M144" s="110"/>
      <c r="N144" s="107"/>
      <c r="O144" s="120"/>
      <c r="P144" s="154"/>
      <c r="Q144" s="155"/>
      <c r="R144" s="163"/>
      <c r="S144" s="306"/>
      <c r="T144" s="295" t="str">
        <f t="shared" si="5"/>
        <v>INSERT INTO `mpt2`.`Messages` (`PlcID`, `MessageNum`, `MessageText`) VALUES ('10203', '122', '43 TR 101/18 - Температура бандажа серидины нижней части реактора V-7');</v>
      </c>
    </row>
    <row r="145" spans="1:20" ht="10.5" customHeight="1">
      <c r="A145" s="361"/>
      <c r="B145" s="364"/>
      <c r="C145" s="6">
        <v>11</v>
      </c>
      <c r="D145" s="6">
        <v>123</v>
      </c>
      <c r="E145" s="69" t="s">
        <v>199</v>
      </c>
      <c r="F145" s="69" t="s">
        <v>79</v>
      </c>
      <c r="G145" s="61">
        <v>0</v>
      </c>
      <c r="H145" s="70">
        <v>300</v>
      </c>
      <c r="I145" s="106" t="s">
        <v>61</v>
      </c>
      <c r="J145" s="61">
        <v>160</v>
      </c>
      <c r="K145" s="70">
        <v>170</v>
      </c>
      <c r="L145" s="109"/>
      <c r="M145" s="110"/>
      <c r="N145" s="107"/>
      <c r="O145" s="120"/>
      <c r="P145" s="154"/>
      <c r="Q145" s="155"/>
      <c r="R145" s="163"/>
      <c r="S145" s="306"/>
      <c r="T145" s="295" t="str">
        <f t="shared" si="5"/>
        <v>INSERT INTO `mpt2`.`Messages` (`PlcID`, `MessageNum`, `MessageText`) VALUES ('10203', '123', '43 TR 101/19 - Температура нижнего бандажа реактора V-7');</v>
      </c>
    </row>
    <row r="146" spans="1:20" ht="10.5" customHeight="1">
      <c r="A146" s="361"/>
      <c r="B146" s="364"/>
      <c r="C146" s="6">
        <v>12</v>
      </c>
      <c r="D146" s="24">
        <v>124</v>
      </c>
      <c r="E146" s="69" t="s">
        <v>200</v>
      </c>
      <c r="F146" s="69" t="s">
        <v>80</v>
      </c>
      <c r="G146" s="61">
        <v>0</v>
      </c>
      <c r="H146" s="70">
        <v>300</v>
      </c>
      <c r="I146" s="106" t="s">
        <v>61</v>
      </c>
      <c r="J146" s="61">
        <v>0</v>
      </c>
      <c r="K146" s="70">
        <v>240</v>
      </c>
      <c r="L146" s="109"/>
      <c r="M146" s="110"/>
      <c r="N146" s="107"/>
      <c r="O146" s="120"/>
      <c r="P146" s="154"/>
      <c r="Q146" s="155"/>
      <c r="R146" s="163"/>
      <c r="S146" s="306"/>
      <c r="T146" s="295" t="str">
        <f t="shared" si="5"/>
        <v>INSERT INTO `mpt2`.`Messages` (`PlcID`, `MessageNum`, `MessageText`) VALUES ('10203', '124', '43 TR 101/20 - Температура воздуха из рубашек реактора V-7');</v>
      </c>
    </row>
    <row r="147" spans="1:20" ht="10.5" customHeight="1">
      <c r="A147" s="361"/>
      <c r="B147" s="364"/>
      <c r="C147" s="6">
        <v>13</v>
      </c>
      <c r="D147" s="6">
        <v>125</v>
      </c>
      <c r="E147" s="125"/>
      <c r="F147" s="125"/>
      <c r="G147" s="126"/>
      <c r="H147" s="127"/>
      <c r="I147" s="128"/>
      <c r="J147" s="126"/>
      <c r="K147" s="127"/>
      <c r="L147" s="109"/>
      <c r="M147" s="110"/>
      <c r="N147" s="107"/>
      <c r="O147" s="120"/>
      <c r="P147" s="154"/>
      <c r="Q147" s="155"/>
      <c r="R147" s="163"/>
      <c r="S147" s="306"/>
    </row>
    <row r="148" spans="1:20" ht="10.5" customHeight="1">
      <c r="A148" s="361"/>
      <c r="B148" s="364"/>
      <c r="C148" s="6">
        <v>14</v>
      </c>
      <c r="D148" s="24">
        <v>126</v>
      </c>
      <c r="E148" s="69"/>
      <c r="F148" s="69"/>
      <c r="G148" s="61"/>
      <c r="H148" s="70"/>
      <c r="I148" s="106"/>
      <c r="J148" s="61"/>
      <c r="K148" s="70"/>
      <c r="L148" s="109"/>
      <c r="M148" s="110"/>
      <c r="N148" s="107"/>
      <c r="O148" s="120"/>
      <c r="P148" s="154"/>
      <c r="Q148" s="155"/>
      <c r="R148" s="163"/>
      <c r="S148" s="306"/>
    </row>
    <row r="149" spans="1:20" ht="10.5" customHeight="1" thickBot="1">
      <c r="A149" s="362"/>
      <c r="B149" s="365"/>
      <c r="C149" s="14">
        <v>15</v>
      </c>
      <c r="D149" s="14">
        <v>127</v>
      </c>
      <c r="E149" s="88"/>
      <c r="F149" s="88"/>
      <c r="G149" s="111"/>
      <c r="H149" s="112"/>
      <c r="I149" s="113"/>
      <c r="J149" s="111"/>
      <c r="K149" s="112"/>
      <c r="L149" s="114"/>
      <c r="M149" s="115"/>
      <c r="N149" s="116"/>
      <c r="O149" s="129"/>
      <c r="P149" s="157"/>
      <c r="Q149" s="158"/>
      <c r="R149" s="164"/>
      <c r="S149" s="306"/>
    </row>
    <row r="150" spans="1:20" ht="10.5" customHeight="1" thickTop="1">
      <c r="A150" s="360" t="s">
        <v>36</v>
      </c>
      <c r="B150" s="363">
        <v>11</v>
      </c>
      <c r="C150" s="5">
        <v>0</v>
      </c>
      <c r="D150" s="24">
        <v>128</v>
      </c>
      <c r="E150" s="93" t="s">
        <v>201</v>
      </c>
      <c r="F150" s="93" t="s">
        <v>62</v>
      </c>
      <c r="G150" s="130">
        <v>0</v>
      </c>
      <c r="H150" s="131">
        <v>300</v>
      </c>
      <c r="I150" s="132" t="s">
        <v>61</v>
      </c>
      <c r="J150" s="130">
        <v>130</v>
      </c>
      <c r="K150" s="131">
        <v>280</v>
      </c>
      <c r="L150" s="133"/>
      <c r="M150" s="134"/>
      <c r="N150" s="135"/>
      <c r="O150" s="136"/>
      <c r="P150" s="160"/>
      <c r="Q150" s="161"/>
      <c r="R150" s="162"/>
      <c r="S150" s="306"/>
      <c r="T150" s="295" t="str">
        <f t="shared" ref="T150:T161" si="6">"INSERT INTO `mpt2`.`Messages` (`PlcID`, `MessageNum`, `MessageText`) VALUES ('10203', '"&amp;D150&amp;"', '"&amp;E150&amp;" - "&amp;F150&amp;"');"</f>
        <v>INSERT INTO `mpt2`.`Messages` (`PlcID`, `MessageNum`, `MessageText`) VALUES ('10203', '128', '43 TR 101/21 - Температура на выходе из продуктового холодильника E-10');</v>
      </c>
    </row>
    <row r="151" spans="1:20" ht="10.5" customHeight="1">
      <c r="A151" s="361"/>
      <c r="B151" s="364"/>
      <c r="C151" s="6">
        <v>1</v>
      </c>
      <c r="D151" s="6">
        <v>129</v>
      </c>
      <c r="E151" s="82" t="s">
        <v>202</v>
      </c>
      <c r="F151" s="82" t="s">
        <v>81</v>
      </c>
      <c r="G151" s="118">
        <v>0</v>
      </c>
      <c r="H151" s="103">
        <v>300</v>
      </c>
      <c r="I151" s="71" t="s">
        <v>61</v>
      </c>
      <c r="J151" s="118">
        <v>130</v>
      </c>
      <c r="K151" s="103">
        <v>270</v>
      </c>
      <c r="L151" s="109"/>
      <c r="M151" s="110"/>
      <c r="N151" s="107"/>
      <c r="O151" s="122"/>
      <c r="P151" s="154"/>
      <c r="Q151" s="155"/>
      <c r="R151" s="163"/>
      <c r="S151" s="306"/>
      <c r="T151" s="295" t="str">
        <f t="shared" si="6"/>
        <v>INSERT INTO `mpt2`.`Messages` (`PlcID`, `MessageNum`, `MessageText`) VALUES ('10203', '129', '43 TR 101/26 - Температура газа из отделителя высокого давления V-8');</v>
      </c>
    </row>
    <row r="152" spans="1:20" ht="10.5" customHeight="1">
      <c r="A152" s="361"/>
      <c r="B152" s="364"/>
      <c r="C152" s="6">
        <v>2</v>
      </c>
      <c r="D152" s="24">
        <v>130</v>
      </c>
      <c r="E152" s="69" t="s">
        <v>203</v>
      </c>
      <c r="F152" s="69" t="s">
        <v>83</v>
      </c>
      <c r="G152" s="61">
        <v>0</v>
      </c>
      <c r="H152" s="70">
        <v>300</v>
      </c>
      <c r="I152" s="106" t="s">
        <v>61</v>
      </c>
      <c r="J152" s="61">
        <v>130</v>
      </c>
      <c r="K152" s="70">
        <v>270</v>
      </c>
      <c r="L152" s="123"/>
      <c r="M152" s="124"/>
      <c r="N152" s="105"/>
      <c r="O152" s="137"/>
      <c r="P152" s="154"/>
      <c r="Q152" s="155"/>
      <c r="R152" s="163"/>
      <c r="S152" s="306"/>
      <c r="T152" s="295" t="str">
        <f t="shared" si="6"/>
        <v>INSERT INTO `mpt2`.`Messages` (`PlcID`, `MessageNum`, `MessageText`) VALUES ('10203', '130', '43 TR 101/27 - Температура на входе в холодильники Е-7/1÷3 возвратного газа');</v>
      </c>
    </row>
    <row r="153" spans="1:20" ht="10.5" customHeight="1">
      <c r="A153" s="361"/>
      <c r="B153" s="364"/>
      <c r="C153" s="6">
        <v>3</v>
      </c>
      <c r="D153" s="6">
        <v>131</v>
      </c>
      <c r="E153" s="69" t="s">
        <v>204</v>
      </c>
      <c r="F153" s="69" t="s">
        <v>82</v>
      </c>
      <c r="G153" s="61">
        <v>0</v>
      </c>
      <c r="H153" s="70">
        <v>300</v>
      </c>
      <c r="I153" s="106" t="s">
        <v>61</v>
      </c>
      <c r="J153" s="61">
        <v>40</v>
      </c>
      <c r="K153" s="70">
        <v>160</v>
      </c>
      <c r="L153" s="109"/>
      <c r="M153" s="110"/>
      <c r="N153" s="107"/>
      <c r="O153" s="120"/>
      <c r="P153" s="154"/>
      <c r="Q153" s="155"/>
      <c r="R153" s="163"/>
      <c r="S153" s="306"/>
      <c r="T153" s="295" t="str">
        <f t="shared" si="6"/>
        <v>INSERT INTO `mpt2`.`Messages` (`PlcID`, `MessageNum`, `MessageText`) VALUES ('10203', '131', '43 TR 101/28 - Температура на выходе из холодильника Е-7/1');</v>
      </c>
    </row>
    <row r="154" spans="1:20" ht="10.5" customHeight="1">
      <c r="A154" s="361"/>
      <c r="B154" s="364"/>
      <c r="C154" s="6">
        <v>4</v>
      </c>
      <c r="D154" s="24">
        <v>132</v>
      </c>
      <c r="E154" s="69" t="s">
        <v>205</v>
      </c>
      <c r="F154" s="69" t="s">
        <v>84</v>
      </c>
      <c r="G154" s="61">
        <v>0</v>
      </c>
      <c r="H154" s="70">
        <v>300</v>
      </c>
      <c r="I154" s="106" t="s">
        <v>61</v>
      </c>
      <c r="J154" s="61">
        <v>40</v>
      </c>
      <c r="K154" s="70">
        <v>160</v>
      </c>
      <c r="L154" s="109"/>
      <c r="M154" s="110"/>
      <c r="N154" s="107"/>
      <c r="O154" s="120"/>
      <c r="P154" s="154"/>
      <c r="Q154" s="155"/>
      <c r="R154" s="163"/>
      <c r="S154" s="306"/>
      <c r="T154" s="295" t="str">
        <f t="shared" si="6"/>
        <v>INSERT INTO `mpt2`.`Messages` (`PlcID`, `MessageNum`, `MessageText`) VALUES ('10203', '132', '43 TR 101/29 - Температура на выходе из холодильника Е-7/2');</v>
      </c>
    </row>
    <row r="155" spans="1:20" ht="10.5" customHeight="1">
      <c r="A155" s="361"/>
      <c r="B155" s="364"/>
      <c r="C155" s="6">
        <v>5</v>
      </c>
      <c r="D155" s="6">
        <v>133</v>
      </c>
      <c r="E155" s="69" t="s">
        <v>206</v>
      </c>
      <c r="F155" s="69" t="s">
        <v>85</v>
      </c>
      <c r="G155" s="61">
        <v>0</v>
      </c>
      <c r="H155" s="70">
        <v>300</v>
      </c>
      <c r="I155" s="106" t="s">
        <v>61</v>
      </c>
      <c r="J155" s="61">
        <v>40</v>
      </c>
      <c r="K155" s="70">
        <v>160</v>
      </c>
      <c r="L155" s="109"/>
      <c r="M155" s="110"/>
      <c r="N155" s="107"/>
      <c r="O155" s="122"/>
      <c r="P155" s="154"/>
      <c r="Q155" s="155"/>
      <c r="R155" s="163"/>
      <c r="S155" s="306"/>
      <c r="T155" s="295" t="str">
        <f t="shared" si="6"/>
        <v>INSERT INTO `mpt2`.`Messages` (`PlcID`, `MessageNum`, `MessageText`) VALUES ('10203', '133', '43 TR 101/30 - Температура на выходе из холодильника Е-7/3');</v>
      </c>
    </row>
    <row r="156" spans="1:20" ht="10.5" customHeight="1">
      <c r="A156" s="361"/>
      <c r="B156" s="364"/>
      <c r="C156" s="6">
        <v>6</v>
      </c>
      <c r="D156" s="24">
        <v>134</v>
      </c>
      <c r="E156" s="69" t="s">
        <v>207</v>
      </c>
      <c r="F156" s="69" t="s">
        <v>86</v>
      </c>
      <c r="G156" s="61">
        <v>0</v>
      </c>
      <c r="H156" s="70">
        <v>300</v>
      </c>
      <c r="I156" s="106" t="s">
        <v>61</v>
      </c>
      <c r="J156" s="61">
        <v>130</v>
      </c>
      <c r="K156" s="70">
        <v>250</v>
      </c>
      <c r="L156" s="123"/>
      <c r="M156" s="124"/>
      <c r="N156" s="105"/>
      <c r="O156" s="137"/>
      <c r="P156" s="154"/>
      <c r="Q156" s="155"/>
      <c r="R156" s="163"/>
      <c r="S156" s="306"/>
      <c r="T156" s="295" t="str">
        <f t="shared" si="6"/>
        <v>INSERT INTO `mpt2`.`Messages` (`PlcID`, `MessageNum`, `MessageText`) VALUES ('10203', '134', '43 TR 101/31 - Температура газа из отделителя низкого давления V-9');</v>
      </c>
    </row>
    <row r="157" spans="1:20" ht="10.5" customHeight="1">
      <c r="A157" s="361"/>
      <c r="B157" s="364"/>
      <c r="C157" s="6">
        <v>7</v>
      </c>
      <c r="D157" s="6">
        <v>135</v>
      </c>
      <c r="E157" s="82" t="s">
        <v>208</v>
      </c>
      <c r="F157" s="82" t="s">
        <v>87</v>
      </c>
      <c r="G157" s="118">
        <v>0</v>
      </c>
      <c r="H157" s="103">
        <v>100</v>
      </c>
      <c r="I157" s="71" t="s">
        <v>61</v>
      </c>
      <c r="J157" s="118">
        <v>0</v>
      </c>
      <c r="K157" s="103">
        <v>85</v>
      </c>
      <c r="L157" s="109"/>
      <c r="M157" s="110"/>
      <c r="N157" s="107"/>
      <c r="O157" s="120"/>
      <c r="P157" s="154"/>
      <c r="Q157" s="155"/>
      <c r="R157" s="163"/>
      <c r="S157" s="306"/>
      <c r="T157" s="295" t="str">
        <f t="shared" si="6"/>
        <v>INSERT INTO `mpt2`.`Messages` (`PlcID`, `MessageNum`, `MessageText`) VALUES ('10203', '135', '43 TR 101/32 - Температура сдувочного газа из F-3');</v>
      </c>
    </row>
    <row r="158" spans="1:20" ht="10.5" customHeight="1">
      <c r="A158" s="361"/>
      <c r="B158" s="364"/>
      <c r="C158" s="6">
        <v>8</v>
      </c>
      <c r="D158" s="24">
        <v>136</v>
      </c>
      <c r="E158" s="69" t="s">
        <v>209</v>
      </c>
      <c r="F158" s="82" t="s">
        <v>88</v>
      </c>
      <c r="G158" s="61">
        <v>0</v>
      </c>
      <c r="H158" s="70">
        <v>300</v>
      </c>
      <c r="I158" s="106" t="s">
        <v>61</v>
      </c>
      <c r="J158" s="61">
        <v>125</v>
      </c>
      <c r="K158" s="70">
        <v>210</v>
      </c>
      <c r="L158" s="109"/>
      <c r="M158" s="110"/>
      <c r="N158" s="107"/>
      <c r="O158" s="120"/>
      <c r="P158" s="154"/>
      <c r="Q158" s="155"/>
      <c r="R158" s="163"/>
      <c r="S158" s="306"/>
      <c r="T158" s="295" t="str">
        <f t="shared" si="6"/>
        <v>INSERT INTO `mpt2`.`Messages` (`PlcID`, `MessageNum`, `MessageText`) VALUES ('10203', '136', '43 TR 101/40 - Температура конденсата из материалапровода холодильника Е-10');</v>
      </c>
    </row>
    <row r="159" spans="1:20" ht="10.5" customHeight="1">
      <c r="A159" s="361"/>
      <c r="B159" s="364"/>
      <c r="C159" s="6">
        <v>9</v>
      </c>
      <c r="D159" s="6">
        <v>137</v>
      </c>
      <c r="E159" s="69" t="s">
        <v>210</v>
      </c>
      <c r="F159" s="69" t="s">
        <v>89</v>
      </c>
      <c r="G159" s="61">
        <v>0</v>
      </c>
      <c r="H159" s="70">
        <v>300</v>
      </c>
      <c r="I159" s="106" t="s">
        <v>61</v>
      </c>
      <c r="J159" s="61">
        <v>125</v>
      </c>
      <c r="K159" s="70">
        <v>210</v>
      </c>
      <c r="L159" s="109"/>
      <c r="M159" s="110"/>
      <c r="N159" s="107"/>
      <c r="O159" s="120"/>
      <c r="P159" s="154"/>
      <c r="Q159" s="155"/>
      <c r="R159" s="163"/>
      <c r="S159" s="306"/>
      <c r="T159" s="295" t="str">
        <f t="shared" si="6"/>
        <v>INSERT INTO `mpt2`.`Messages` (`PlcID`, `MessageNum`, `MessageText`) VALUES ('10203', '137', '43 TR 101/41 - Температура из рубашки продуктового холодильника Е-10');</v>
      </c>
    </row>
    <row r="160" spans="1:20" ht="10.5" customHeight="1">
      <c r="A160" s="361"/>
      <c r="B160" s="364"/>
      <c r="C160" s="6">
        <v>10</v>
      </c>
      <c r="D160" s="24">
        <v>138</v>
      </c>
      <c r="E160" s="69" t="s">
        <v>211</v>
      </c>
      <c r="F160" s="69" t="s">
        <v>90</v>
      </c>
      <c r="G160" s="61">
        <v>0</v>
      </c>
      <c r="H160" s="70">
        <v>300</v>
      </c>
      <c r="I160" s="106" t="s">
        <v>61</v>
      </c>
      <c r="J160" s="61">
        <v>125</v>
      </c>
      <c r="K160" s="70">
        <v>210</v>
      </c>
      <c r="L160" s="109"/>
      <c r="M160" s="110"/>
      <c r="N160" s="107"/>
      <c r="O160" s="120"/>
      <c r="P160" s="154"/>
      <c r="Q160" s="155"/>
      <c r="R160" s="163"/>
      <c r="S160" s="306"/>
      <c r="T160" s="295" t="str">
        <f t="shared" si="6"/>
        <v>INSERT INTO `mpt2`.`Messages` (`PlcID`, `MessageNum`, `MessageText`) VALUES ('10203', '138', '43 TR 101/43 - Температура конденсата из рубашки отделителя высого давления V-8');</v>
      </c>
    </row>
    <row r="161" spans="1:20" ht="10.5" customHeight="1">
      <c r="A161" s="361"/>
      <c r="B161" s="364"/>
      <c r="C161" s="6">
        <v>11</v>
      </c>
      <c r="D161" s="6">
        <v>139</v>
      </c>
      <c r="E161" s="245" t="s">
        <v>139</v>
      </c>
      <c r="F161" s="69" t="s">
        <v>91</v>
      </c>
      <c r="G161" s="61">
        <v>0</v>
      </c>
      <c r="H161" s="247">
        <v>200</v>
      </c>
      <c r="I161" s="106" t="s">
        <v>61</v>
      </c>
      <c r="J161" s="61">
        <v>0</v>
      </c>
      <c r="K161" s="62">
        <v>0</v>
      </c>
      <c r="L161" s="109"/>
      <c r="M161" s="110"/>
      <c r="N161" s="107"/>
      <c r="O161" s="120"/>
      <c r="P161" s="154"/>
      <c r="Q161" s="155"/>
      <c r="R161" s="163"/>
      <c r="S161" s="306"/>
      <c r="T161" s="295" t="str">
        <f t="shared" si="6"/>
        <v>INSERT INTO `mpt2`.`Messages` (`PlcID`, `MessageNum`, `MessageText`) VALUES ('10203', '139', '43 TR 101/52 - Температура конденсата в рубашке нагнетательных тр-дов Р-1, Р-2');</v>
      </c>
    </row>
    <row r="162" spans="1:20" ht="10.5" customHeight="1">
      <c r="A162" s="361"/>
      <c r="B162" s="364"/>
      <c r="C162" s="6">
        <v>12</v>
      </c>
      <c r="D162" s="24">
        <v>140</v>
      </c>
      <c r="E162" s="69"/>
      <c r="F162" s="69"/>
      <c r="G162" s="61"/>
      <c r="H162" s="70"/>
      <c r="I162" s="106"/>
      <c r="J162" s="61"/>
      <c r="K162" s="62"/>
      <c r="L162" s="107"/>
      <c r="M162" s="62"/>
      <c r="N162" s="107"/>
      <c r="O162" s="120"/>
      <c r="P162" s="154"/>
      <c r="Q162" s="155"/>
      <c r="R162" s="163"/>
      <c r="S162" s="306"/>
    </row>
    <row r="163" spans="1:20" ht="10.5" customHeight="1">
      <c r="A163" s="361"/>
      <c r="B163" s="364"/>
      <c r="C163" s="6">
        <v>13</v>
      </c>
      <c r="D163" s="6">
        <v>141</v>
      </c>
      <c r="E163" s="69"/>
      <c r="F163" s="69"/>
      <c r="G163" s="61"/>
      <c r="H163" s="70"/>
      <c r="I163" s="106"/>
      <c r="J163" s="61"/>
      <c r="K163" s="62"/>
      <c r="L163" s="107"/>
      <c r="M163" s="120"/>
      <c r="N163" s="107"/>
      <c r="O163" s="120"/>
      <c r="P163" s="154"/>
      <c r="Q163" s="155"/>
      <c r="R163" s="163"/>
      <c r="S163" s="306"/>
    </row>
    <row r="164" spans="1:20" ht="10.5" customHeight="1">
      <c r="A164" s="361"/>
      <c r="B164" s="364"/>
      <c r="C164" s="6">
        <v>14</v>
      </c>
      <c r="D164" s="24">
        <v>142</v>
      </c>
      <c r="E164" s="69"/>
      <c r="F164" s="69"/>
      <c r="G164" s="61"/>
      <c r="H164" s="70"/>
      <c r="I164" s="106"/>
      <c r="J164" s="107"/>
      <c r="K164" s="120"/>
      <c r="L164" s="107"/>
      <c r="M164" s="120"/>
      <c r="N164" s="107"/>
      <c r="O164" s="120"/>
      <c r="P164" s="154"/>
      <c r="Q164" s="155"/>
      <c r="R164" s="163"/>
      <c r="S164" s="306"/>
    </row>
    <row r="165" spans="1:20" ht="10.5" customHeight="1" thickBot="1">
      <c r="A165" s="362"/>
      <c r="B165" s="365"/>
      <c r="C165" s="14">
        <v>15</v>
      </c>
      <c r="D165" s="14">
        <v>143</v>
      </c>
      <c r="E165" s="138"/>
      <c r="F165" s="138"/>
      <c r="G165" s="111"/>
      <c r="H165" s="112"/>
      <c r="I165" s="113"/>
      <c r="J165" s="111"/>
      <c r="K165" s="139"/>
      <c r="L165" s="116"/>
      <c r="M165" s="140"/>
      <c r="N165" s="116"/>
      <c r="O165" s="140"/>
      <c r="P165" s="157"/>
      <c r="Q165" s="158"/>
      <c r="R165" s="164"/>
      <c r="S165" s="306"/>
    </row>
    <row r="166" spans="1:20" ht="10.5" customHeight="1" thickTop="1">
      <c r="A166" s="360" t="s">
        <v>36</v>
      </c>
      <c r="B166" s="363">
        <v>12</v>
      </c>
      <c r="C166" s="5">
        <v>0</v>
      </c>
      <c r="D166" s="24">
        <v>144</v>
      </c>
      <c r="E166" s="82" t="s">
        <v>212</v>
      </c>
      <c r="F166" s="82" t="s">
        <v>45</v>
      </c>
      <c r="G166" s="102">
        <v>0</v>
      </c>
      <c r="H166" s="103">
        <v>100</v>
      </c>
      <c r="I166" s="71" t="s">
        <v>46</v>
      </c>
      <c r="J166" s="102">
        <v>30</v>
      </c>
      <c r="K166" s="104">
        <v>50</v>
      </c>
      <c r="L166" s="102"/>
      <c r="M166" s="104"/>
      <c r="N166" s="105"/>
      <c r="O166" s="104"/>
      <c r="P166" s="151"/>
      <c r="Q166" s="152"/>
      <c r="R166" s="153"/>
      <c r="S166" s="305"/>
      <c r="T166" s="295" t="str">
        <f t="shared" ref="T166:T174" si="7">"INSERT INTO `mpt2`.`Messages` (`PlcID`, `MessageNum`, `MessageText`) VALUES ('10203', '"&amp;D166&amp;"', '"&amp;E166&amp;" - "&amp;F166&amp;"');"</f>
        <v>INSERT INTO `mpt2`.`Messages` (`PlcID`, `MessageNum`, `MessageText`) VALUES ('10203', '144', '44 PRC-4 - Давление в ресивере V-1');</v>
      </c>
    </row>
    <row r="167" spans="1:20" ht="10.5" customHeight="1">
      <c r="A167" s="361"/>
      <c r="B167" s="364"/>
      <c r="C167" s="6">
        <v>1</v>
      </c>
      <c r="D167" s="6">
        <v>145</v>
      </c>
      <c r="E167" s="69" t="s">
        <v>213</v>
      </c>
      <c r="F167" s="69" t="s">
        <v>47</v>
      </c>
      <c r="G167" s="61">
        <v>0</v>
      </c>
      <c r="H167" s="70">
        <v>60</v>
      </c>
      <c r="I167" s="106" t="s">
        <v>48</v>
      </c>
      <c r="J167" s="61">
        <v>18</v>
      </c>
      <c r="K167" s="62">
        <v>25</v>
      </c>
      <c r="L167" s="61"/>
      <c r="M167" s="62"/>
      <c r="N167" s="107"/>
      <c r="O167" s="62"/>
      <c r="P167" s="154"/>
      <c r="Q167" s="155"/>
      <c r="R167" s="156"/>
      <c r="S167" s="305"/>
      <c r="T167" s="295" t="str">
        <f t="shared" si="7"/>
        <v>INSERT INTO `mpt2`.`Messages` (`PlcID`, `MessageNum`, `MessageText`) VALUES ('10203', '145', '44 PR-45 - Давление в отделителе высокого давления V-8');</v>
      </c>
    </row>
    <row r="168" spans="1:20" ht="10.5" customHeight="1">
      <c r="A168" s="361"/>
      <c r="B168" s="364"/>
      <c r="C168" s="6">
        <v>2</v>
      </c>
      <c r="D168" s="24">
        <v>146</v>
      </c>
      <c r="E168" s="69" t="s">
        <v>214</v>
      </c>
      <c r="F168" s="69" t="s">
        <v>49</v>
      </c>
      <c r="G168" s="61">
        <v>0</v>
      </c>
      <c r="H168" s="70">
        <v>400</v>
      </c>
      <c r="I168" s="106" t="s">
        <v>46</v>
      </c>
      <c r="J168" s="61">
        <v>30</v>
      </c>
      <c r="K168" s="62">
        <v>100</v>
      </c>
      <c r="L168" s="61"/>
      <c r="M168" s="62"/>
      <c r="N168" s="107"/>
      <c r="O168" s="62"/>
      <c r="P168" s="154"/>
      <c r="Q168" s="155"/>
      <c r="R168" s="156" t="s">
        <v>50</v>
      </c>
      <c r="S168" s="305"/>
      <c r="T168" s="295" t="str">
        <f t="shared" si="7"/>
        <v>INSERT INTO `mpt2`.`Messages` (`PlcID`, `MessageNum`, `MessageText`) VALUES ('10203', '146', '44 PR-46 - Давление в отделителе низкого давления V-9');</v>
      </c>
    </row>
    <row r="169" spans="1:20" ht="10.5" customHeight="1">
      <c r="A169" s="361"/>
      <c r="B169" s="364"/>
      <c r="C169" s="6">
        <v>3</v>
      </c>
      <c r="D169" s="6">
        <v>147</v>
      </c>
      <c r="E169" s="69" t="s">
        <v>215</v>
      </c>
      <c r="F169" s="69" t="s">
        <v>53</v>
      </c>
      <c r="G169" s="61">
        <v>0</v>
      </c>
      <c r="H169" s="70">
        <v>100</v>
      </c>
      <c r="I169" s="106" t="s">
        <v>52</v>
      </c>
      <c r="J169" s="61">
        <v>15</v>
      </c>
      <c r="K169" s="62">
        <v>40</v>
      </c>
      <c r="L169" s="61">
        <v>10</v>
      </c>
      <c r="M169" s="62">
        <v>55</v>
      </c>
      <c r="N169" s="107"/>
      <c r="O169" s="62"/>
      <c r="P169" s="154"/>
      <c r="Q169" s="155"/>
      <c r="R169" s="156" t="s">
        <v>54</v>
      </c>
      <c r="S169" s="305"/>
      <c r="T169" s="295" t="str">
        <f t="shared" si="7"/>
        <v>INSERT INTO `mpt2`.`Messages` (`PlcID`, `MessageNum`, `MessageText`) VALUES ('10203', '147', '44 LRCA-4 - Уровень п/э в отделителе выкого давления V-8');</v>
      </c>
    </row>
    <row r="170" spans="1:20" ht="10.5" customHeight="1">
      <c r="A170" s="361"/>
      <c r="B170" s="364"/>
      <c r="C170" s="6">
        <v>4</v>
      </c>
      <c r="D170" s="24">
        <v>148</v>
      </c>
      <c r="E170" s="69" t="s">
        <v>216</v>
      </c>
      <c r="F170" s="69" t="s">
        <v>51</v>
      </c>
      <c r="G170" s="61">
        <v>0</v>
      </c>
      <c r="H170" s="70">
        <v>100</v>
      </c>
      <c r="I170" s="106" t="s">
        <v>52</v>
      </c>
      <c r="J170" s="61">
        <v>10</v>
      </c>
      <c r="K170" s="62">
        <v>60</v>
      </c>
      <c r="L170" s="61">
        <v>10</v>
      </c>
      <c r="M170" s="62">
        <v>60</v>
      </c>
      <c r="N170" s="107"/>
      <c r="O170" s="62"/>
      <c r="P170" s="154"/>
      <c r="Q170" s="155"/>
      <c r="R170" s="156" t="s">
        <v>54</v>
      </c>
      <c r="S170" s="305"/>
      <c r="T170" s="295" t="str">
        <f t="shared" si="7"/>
        <v>INSERT INTO `mpt2`.`Messages` (`PlcID`, `MessageNum`, `MessageText`) VALUES ('10203', '148', '44 LRA-6 - Уровень п/э в отделителе низкого давления V-9');</v>
      </c>
    </row>
    <row r="171" spans="1:20" ht="10.5" customHeight="1">
      <c r="A171" s="361"/>
      <c r="B171" s="364"/>
      <c r="C171" s="6">
        <v>5</v>
      </c>
      <c r="D171" s="6">
        <v>149</v>
      </c>
      <c r="E171" s="69" t="s">
        <v>217</v>
      </c>
      <c r="F171" s="69" t="s">
        <v>55</v>
      </c>
      <c r="G171" s="61">
        <v>0</v>
      </c>
      <c r="H171" s="70">
        <v>75</v>
      </c>
      <c r="I171" s="106" t="s">
        <v>56</v>
      </c>
      <c r="J171" s="61">
        <v>27</v>
      </c>
      <c r="K171" s="62">
        <v>60</v>
      </c>
      <c r="L171" s="61"/>
      <c r="M171" s="62"/>
      <c r="N171" s="107"/>
      <c r="O171" s="62"/>
      <c r="P171" s="154"/>
      <c r="Q171" s="155"/>
      <c r="R171" s="156"/>
      <c r="S171" s="305"/>
      <c r="T171" s="295" t="str">
        <f t="shared" si="7"/>
        <v>INSERT INTO `mpt2`.`Messages` (`PlcID`, `MessageNum`, `MessageText`) VALUES ('10203', '149', '44 FR-13 - Расход конденсата к режущему устройству Z-1');</v>
      </c>
    </row>
    <row r="172" spans="1:20" ht="10.5" customHeight="1">
      <c r="A172" s="361"/>
      <c r="B172" s="364"/>
      <c r="C172" s="6">
        <v>6</v>
      </c>
      <c r="D172" s="24">
        <v>150</v>
      </c>
      <c r="E172" s="69" t="s">
        <v>218</v>
      </c>
      <c r="F172" s="69" t="s">
        <v>58</v>
      </c>
      <c r="G172" s="61">
        <v>0</v>
      </c>
      <c r="H172" s="70">
        <v>2000</v>
      </c>
      <c r="I172" s="106" t="s">
        <v>57</v>
      </c>
      <c r="J172" s="61">
        <v>0</v>
      </c>
      <c r="K172" s="62">
        <v>1630</v>
      </c>
      <c r="L172" s="61"/>
      <c r="M172" s="62"/>
      <c r="N172" s="107"/>
      <c r="O172" s="62"/>
      <c r="P172" s="154"/>
      <c r="Q172" s="155"/>
      <c r="R172" s="156"/>
      <c r="S172" s="305"/>
      <c r="T172" s="295" t="str">
        <f t="shared" si="7"/>
        <v>INSERT INTO `mpt2`.`Messages` (`PlcID`, `MessageNum`, `MessageText`) VALUES ('10203', '150', '44 FR-5 - Расход возвратного газа из С-1 в рессивер V-2');</v>
      </c>
    </row>
    <row r="173" spans="1:20" ht="10.5" customHeight="1">
      <c r="A173" s="361"/>
      <c r="B173" s="364"/>
      <c r="C173" s="6">
        <v>7</v>
      </c>
      <c r="D173" s="6">
        <v>151</v>
      </c>
      <c r="E173" s="69" t="s">
        <v>219</v>
      </c>
      <c r="F173" s="69" t="s">
        <v>93</v>
      </c>
      <c r="G173" s="61">
        <v>0</v>
      </c>
      <c r="H173" s="70">
        <v>300</v>
      </c>
      <c r="I173" s="106" t="s">
        <v>61</v>
      </c>
      <c r="J173" s="61">
        <v>0</v>
      </c>
      <c r="K173" s="62">
        <v>240</v>
      </c>
      <c r="L173" s="61"/>
      <c r="M173" s="62">
        <v>170</v>
      </c>
      <c r="N173" s="107"/>
      <c r="O173" s="62">
        <v>240</v>
      </c>
      <c r="P173" s="154"/>
      <c r="Q173" s="155"/>
      <c r="R173" s="156"/>
      <c r="S173" s="305"/>
      <c r="T173" s="295" t="str">
        <f t="shared" si="7"/>
        <v>INSERT INTO `mpt2`.`Messages` (`PlcID`, `MessageNum`, `MessageText`) VALUES ('10203', '151', '44 TRCSA-5 - Температура стенки реактора V-7');</v>
      </c>
    </row>
    <row r="174" spans="1:20" ht="10.5" customHeight="1">
      <c r="A174" s="361"/>
      <c r="B174" s="364"/>
      <c r="C174" s="6">
        <v>8</v>
      </c>
      <c r="D174" s="24">
        <v>152</v>
      </c>
      <c r="E174" s="69" t="s">
        <v>220</v>
      </c>
      <c r="F174" s="69" t="s">
        <v>62</v>
      </c>
      <c r="G174" s="61">
        <v>0</v>
      </c>
      <c r="H174" s="70">
        <v>300</v>
      </c>
      <c r="I174" s="106" t="s">
        <v>61</v>
      </c>
      <c r="J174" s="61">
        <v>130</v>
      </c>
      <c r="K174" s="62">
        <v>280</v>
      </c>
      <c r="L174" s="61"/>
      <c r="M174" s="62"/>
      <c r="N174" s="107"/>
      <c r="O174" s="62"/>
      <c r="P174" s="154"/>
      <c r="Q174" s="155"/>
      <c r="R174" s="156"/>
      <c r="S174" s="305"/>
      <c r="T174" s="295" t="str">
        <f t="shared" si="7"/>
        <v>INSERT INTO `mpt2`.`Messages` (`PlcID`, `MessageNum`, `MessageText`) VALUES ('10203', '152', '44 TRC-6 - Температура на выходе из продуктового холодильника E-10');</v>
      </c>
    </row>
    <row r="175" spans="1:20" ht="10.5" customHeight="1">
      <c r="A175" s="361"/>
      <c r="B175" s="364"/>
      <c r="C175" s="336">
        <v>9</v>
      </c>
      <c r="D175" s="336">
        <v>153</v>
      </c>
      <c r="E175" s="330" t="s">
        <v>221</v>
      </c>
      <c r="F175" s="10" t="s">
        <v>279</v>
      </c>
      <c r="G175" s="393">
        <v>0</v>
      </c>
      <c r="H175" s="395">
        <v>200</v>
      </c>
      <c r="I175" s="385" t="s">
        <v>63</v>
      </c>
      <c r="J175" s="51">
        <v>125</v>
      </c>
      <c r="K175" s="60">
        <v>145</v>
      </c>
      <c r="L175" s="51"/>
      <c r="M175" s="60">
        <v>146</v>
      </c>
      <c r="N175" s="13"/>
      <c r="O175" s="60"/>
      <c r="P175" s="22"/>
      <c r="Q175" s="36"/>
      <c r="R175" s="6" t="s">
        <v>285</v>
      </c>
      <c r="S175" s="3"/>
      <c r="T175" s="296" t="str">
        <f>"INSERT INTO `mpt2`.`Messages` (`PlcID`, `MessageNum`, `MessageText`) VALUES ('10203', '"&amp;D175&amp;"', '"&amp;E175&amp;" - "&amp;"Давление в реакторе V-7"&amp;"');"</f>
        <v>INSERT INTO `mpt2`.`Messages` (`PlcID`, `MessageNum`, `MessageText`) VALUES ('10203', '153', '44 PRA-43 - Давление в реакторе V-7');</v>
      </c>
    </row>
    <row r="176" spans="1:20" ht="10.5" customHeight="1">
      <c r="A176" s="361"/>
      <c r="B176" s="364"/>
      <c r="C176" s="337"/>
      <c r="D176" s="337"/>
      <c r="E176" s="331"/>
      <c r="F176" s="10" t="s">
        <v>280</v>
      </c>
      <c r="G176" s="394"/>
      <c r="H176" s="396"/>
      <c r="I176" s="386"/>
      <c r="J176" s="51">
        <v>115</v>
      </c>
      <c r="K176" s="60">
        <v>135</v>
      </c>
      <c r="L176" s="51"/>
      <c r="M176" s="60">
        <v>136</v>
      </c>
      <c r="N176" s="13"/>
      <c r="O176" s="60"/>
      <c r="P176" s="22"/>
      <c r="Q176" s="36"/>
      <c r="R176" s="6" t="s">
        <v>286</v>
      </c>
      <c r="S176" s="3"/>
      <c r="T176" s="295"/>
    </row>
    <row r="177" spans="1:20" ht="10.5" customHeight="1">
      <c r="A177" s="361"/>
      <c r="B177" s="364"/>
      <c r="C177" s="337"/>
      <c r="D177" s="337"/>
      <c r="E177" s="331"/>
      <c r="F177" s="10" t="s">
        <v>281</v>
      </c>
      <c r="G177" s="394"/>
      <c r="H177" s="396"/>
      <c r="I177" s="386"/>
      <c r="J177" s="51">
        <v>140</v>
      </c>
      <c r="K177" s="60">
        <v>155</v>
      </c>
      <c r="L177" s="51"/>
      <c r="M177" s="60">
        <v>156</v>
      </c>
      <c r="N177" s="13"/>
      <c r="O177" s="60"/>
      <c r="P177" s="22"/>
      <c r="Q177" s="36"/>
      <c r="R177" s="6" t="s">
        <v>287</v>
      </c>
      <c r="S177" s="3"/>
    </row>
    <row r="178" spans="1:20" ht="10.5" customHeight="1">
      <c r="A178" s="361"/>
      <c r="B178" s="364"/>
      <c r="C178" s="337"/>
      <c r="D178" s="337"/>
      <c r="E178" s="331"/>
      <c r="F178" s="10" t="s">
        <v>282</v>
      </c>
      <c r="G178" s="394"/>
      <c r="H178" s="396"/>
      <c r="I178" s="386"/>
      <c r="J178" s="51">
        <v>125</v>
      </c>
      <c r="K178" s="60">
        <v>150</v>
      </c>
      <c r="L178" s="51"/>
      <c r="M178" s="60">
        <v>151</v>
      </c>
      <c r="N178" s="13"/>
      <c r="O178" s="60"/>
      <c r="P178" s="22"/>
      <c r="Q178" s="36"/>
      <c r="R178" s="6" t="s">
        <v>288</v>
      </c>
      <c r="S178" s="3"/>
    </row>
    <row r="179" spans="1:20" ht="10.5" customHeight="1">
      <c r="A179" s="361"/>
      <c r="B179" s="364"/>
      <c r="C179" s="337"/>
      <c r="D179" s="337"/>
      <c r="E179" s="331"/>
      <c r="F179" s="10" t="s">
        <v>283</v>
      </c>
      <c r="G179" s="394"/>
      <c r="H179" s="396"/>
      <c r="I179" s="386"/>
      <c r="J179" s="51">
        <v>122.5</v>
      </c>
      <c r="K179" s="60">
        <v>147.5</v>
      </c>
      <c r="L179" s="51"/>
      <c r="M179" s="60">
        <v>148.5</v>
      </c>
      <c r="N179" s="13"/>
      <c r="O179" s="60"/>
      <c r="P179" s="22"/>
      <c r="Q179" s="36"/>
      <c r="R179" s="6" t="s">
        <v>289</v>
      </c>
      <c r="S179" s="3"/>
    </row>
    <row r="180" spans="1:20" ht="10.5" customHeight="1">
      <c r="A180" s="361"/>
      <c r="B180" s="364"/>
      <c r="C180" s="337"/>
      <c r="D180" s="337"/>
      <c r="E180" s="331"/>
      <c r="F180" s="320" t="s">
        <v>473</v>
      </c>
      <c r="G180" s="394"/>
      <c r="H180" s="396"/>
      <c r="I180" s="386"/>
      <c r="J180" s="321">
        <v>115</v>
      </c>
      <c r="K180" s="322">
        <v>145</v>
      </c>
      <c r="L180" s="321"/>
      <c r="M180" s="322">
        <v>147</v>
      </c>
      <c r="N180" s="323"/>
      <c r="O180" s="322"/>
      <c r="P180" s="324"/>
      <c r="Q180" s="325"/>
      <c r="R180" s="326" t="s">
        <v>443</v>
      </c>
      <c r="S180" s="3"/>
    </row>
    <row r="181" spans="1:20" ht="10.5" customHeight="1">
      <c r="A181" s="361"/>
      <c r="B181" s="364"/>
      <c r="C181" s="349"/>
      <c r="D181" s="349"/>
      <c r="E181" s="332"/>
      <c r="F181" s="10" t="s">
        <v>284</v>
      </c>
      <c r="G181" s="394"/>
      <c r="H181" s="396"/>
      <c r="I181" s="386"/>
      <c r="J181" s="51">
        <v>138</v>
      </c>
      <c r="K181" s="60">
        <v>155</v>
      </c>
      <c r="L181" s="51"/>
      <c r="M181" s="60">
        <v>156</v>
      </c>
      <c r="N181" s="13"/>
      <c r="O181" s="60"/>
      <c r="P181" s="22"/>
      <c r="Q181" s="36"/>
      <c r="R181" s="6" t="s">
        <v>290</v>
      </c>
      <c r="S181" s="3"/>
    </row>
    <row r="182" spans="1:20" ht="10.5" customHeight="1">
      <c r="A182" s="361"/>
      <c r="B182" s="364"/>
      <c r="C182" s="6">
        <v>10</v>
      </c>
      <c r="D182" s="24">
        <v>154</v>
      </c>
      <c r="E182" s="176" t="s">
        <v>222</v>
      </c>
      <c r="F182" s="176" t="s">
        <v>64</v>
      </c>
      <c r="G182" s="61">
        <v>0</v>
      </c>
      <c r="H182" s="108">
        <v>350</v>
      </c>
      <c r="I182" s="106" t="s">
        <v>65</v>
      </c>
      <c r="J182" s="61">
        <v>32</v>
      </c>
      <c r="K182" s="62">
        <v>320</v>
      </c>
      <c r="L182" s="61"/>
      <c r="M182" s="62"/>
      <c r="N182" s="107"/>
      <c r="O182" s="62"/>
      <c r="P182" s="154"/>
      <c r="Q182" s="155"/>
      <c r="R182" s="156"/>
      <c r="S182" s="305"/>
      <c r="T182" s="295" t="str">
        <f>"INSERT INTO `mpt2`.`Messages` (`PlcID`, `MessageNum`, `MessageText`) VALUES ('10203', '"&amp;D182&amp;"', '"&amp;E182&amp;" - "&amp;F182&amp;"');"</f>
        <v>INSERT INTO `mpt2`.`Messages` (`PlcID`, `MessageNum`, `MessageText`) VALUES ('10203', '154', '44 SR -1 - Число оборотов компрессора C-2');</v>
      </c>
    </row>
    <row r="183" spans="1:20" ht="10.5" customHeight="1">
      <c r="A183" s="361"/>
      <c r="B183" s="364"/>
      <c r="C183" s="6">
        <v>11</v>
      </c>
      <c r="D183" s="6">
        <v>155</v>
      </c>
      <c r="E183" s="176" t="s">
        <v>223</v>
      </c>
      <c r="F183" s="176" t="s">
        <v>66</v>
      </c>
      <c r="G183" s="61">
        <v>0</v>
      </c>
      <c r="H183" s="108">
        <v>350</v>
      </c>
      <c r="I183" s="106" t="s">
        <v>65</v>
      </c>
      <c r="J183" s="61">
        <v>32</v>
      </c>
      <c r="K183" s="62">
        <v>320</v>
      </c>
      <c r="L183" s="61"/>
      <c r="M183" s="62"/>
      <c r="N183" s="107"/>
      <c r="O183" s="62"/>
      <c r="P183" s="154"/>
      <c r="Q183" s="155"/>
      <c r="R183" s="156"/>
      <c r="S183" s="305"/>
      <c r="T183" s="295" t="str">
        <f>"INSERT INTO `mpt2`.`Messages` (`PlcID`, `MessageNum`, `MessageText`) VALUES ('10203', '"&amp;D183&amp;"', '"&amp;E183&amp;" - "&amp;F183&amp;"');"</f>
        <v>INSERT INTO `mpt2`.`Messages` (`PlcID`, `MessageNum`, `MessageText`) VALUES ('10203', '155', '44 SR -2 - Число оборотов компрессора второго каскада C-3/2');</v>
      </c>
    </row>
    <row r="184" spans="1:20" ht="10.5" customHeight="1">
      <c r="A184" s="361"/>
      <c r="B184" s="364"/>
      <c r="C184" s="6">
        <v>12</v>
      </c>
      <c r="D184" s="24">
        <v>156</v>
      </c>
      <c r="E184" s="184" t="s">
        <v>328</v>
      </c>
      <c r="F184" s="184" t="s">
        <v>68</v>
      </c>
      <c r="G184" s="61">
        <v>0</v>
      </c>
      <c r="H184" s="70">
        <v>20</v>
      </c>
      <c r="I184" s="106" t="s">
        <v>63</v>
      </c>
      <c r="J184" s="61">
        <v>5</v>
      </c>
      <c r="K184" s="62">
        <v>13</v>
      </c>
      <c r="L184" s="107"/>
      <c r="M184" s="62">
        <v>13</v>
      </c>
      <c r="N184" s="107"/>
      <c r="O184" s="62">
        <v>14</v>
      </c>
      <c r="P184" s="154"/>
      <c r="Q184" s="155"/>
      <c r="R184" s="156"/>
      <c r="S184" s="305"/>
      <c r="T184" s="295" t="str">
        <f>"INSERT INTO `mpt2`.`Messages` (`PlcID`, `MessageNum`, `MessageText`) VALUES ('10203', '"&amp;D184&amp;"', '"&amp;E184&amp;" - "&amp;F184&amp;"');"</f>
        <v>INSERT INTO `mpt2`.`Messages` (`PlcID`, `MessageNum`, `MessageText`) VALUES ('10203', '156', '44 PRSA-84 - Давление нагнетания экструзионного насоса P-4');</v>
      </c>
    </row>
    <row r="185" spans="1:20" ht="10.5" customHeight="1">
      <c r="A185" s="361"/>
      <c r="B185" s="364"/>
      <c r="C185" s="6">
        <v>13</v>
      </c>
      <c r="D185" s="6">
        <v>157</v>
      </c>
      <c r="E185" s="184" t="s">
        <v>324</v>
      </c>
      <c r="F185" s="185" t="s">
        <v>323</v>
      </c>
      <c r="G185" s="51">
        <v>0</v>
      </c>
      <c r="H185" s="56">
        <v>2</v>
      </c>
      <c r="I185" s="11" t="s">
        <v>63</v>
      </c>
      <c r="J185" s="83">
        <v>0.95</v>
      </c>
      <c r="K185" s="199">
        <v>1.05</v>
      </c>
      <c r="L185" s="109"/>
      <c r="M185" s="110"/>
      <c r="N185" s="107"/>
      <c r="O185" s="62"/>
      <c r="P185" s="154"/>
      <c r="Q185" s="155"/>
      <c r="R185" s="156"/>
      <c r="S185" s="305"/>
      <c r="T185" s="295" t="str">
        <f>"INSERT INTO `mpt2`.`Messages` (`PlcID`, `MessageNum`, `MessageText`) VALUES ('10203', '"&amp;D185&amp;"', '"&amp;E185&amp;" - "&amp;F185&amp;"');"</f>
        <v>INSERT INTO `mpt2`.`Messages` (`PlcID`, `MessageNum`, `MessageText`) VALUES ('10203', '157', '44 PR-10 - Давление в ресивере V-2');</v>
      </c>
    </row>
    <row r="186" spans="1:20" ht="10.5" customHeight="1">
      <c r="A186" s="361"/>
      <c r="B186" s="364"/>
      <c r="C186" s="6">
        <v>14</v>
      </c>
      <c r="D186" s="24">
        <v>158</v>
      </c>
      <c r="E186" s="241"/>
      <c r="F186" s="242" t="s">
        <v>434</v>
      </c>
      <c r="G186" s="61"/>
      <c r="H186" s="70"/>
      <c r="I186" s="106"/>
      <c r="J186" s="61"/>
      <c r="K186" s="70"/>
      <c r="L186" s="109"/>
      <c r="M186" s="110"/>
      <c r="N186" s="107"/>
      <c r="O186" s="62"/>
      <c r="P186" s="154"/>
      <c r="Q186" s="155"/>
      <c r="R186" s="156"/>
      <c r="S186" s="305"/>
    </row>
    <row r="187" spans="1:20" ht="10.5" customHeight="1" thickBot="1">
      <c r="A187" s="362"/>
      <c r="B187" s="365"/>
      <c r="C187" s="14">
        <v>15</v>
      </c>
      <c r="D187" s="14">
        <v>159</v>
      </c>
      <c r="E187" s="88"/>
      <c r="F187" s="88"/>
      <c r="G187" s="111"/>
      <c r="H187" s="112"/>
      <c r="I187" s="113"/>
      <c r="J187" s="111"/>
      <c r="K187" s="112"/>
      <c r="L187" s="114"/>
      <c r="M187" s="115"/>
      <c r="N187" s="116"/>
      <c r="O187" s="117"/>
      <c r="P187" s="157"/>
      <c r="Q187" s="158"/>
      <c r="R187" s="159"/>
      <c r="S187" s="305"/>
    </row>
    <row r="188" spans="1:20" ht="10.5" customHeight="1" thickTop="1">
      <c r="A188" s="360" t="s">
        <v>36</v>
      </c>
      <c r="B188" s="366" t="s">
        <v>291</v>
      </c>
      <c r="C188" s="5">
        <v>0</v>
      </c>
      <c r="D188" s="24">
        <v>160</v>
      </c>
      <c r="E188" s="249" t="s">
        <v>224</v>
      </c>
      <c r="F188" s="82" t="s">
        <v>67</v>
      </c>
      <c r="G188" s="118">
        <v>-50</v>
      </c>
      <c r="H188" s="250">
        <v>100</v>
      </c>
      <c r="I188" s="71" t="s">
        <v>61</v>
      </c>
      <c r="J188" s="118">
        <v>5</v>
      </c>
      <c r="K188" s="104">
        <v>40</v>
      </c>
      <c r="L188" s="118"/>
      <c r="M188" s="104"/>
      <c r="N188" s="105"/>
      <c r="O188" s="119"/>
      <c r="P188" s="160"/>
      <c r="Q188" s="161"/>
      <c r="R188" s="162"/>
      <c r="S188" s="306"/>
      <c r="T188" s="295" t="str">
        <f t="shared" ref="T188:T200" si="8">"INSERT INTO `mpt2`.`Messages` (`PlcID`, `MessageNum`, `MessageText`) VALUES ('10203', '"&amp;D188&amp;"', '"&amp;E188&amp;" - "&amp;F188&amp;"');"</f>
        <v>INSERT INTO `mpt2`.`Messages` (`PlcID`, `MessageNum`, `MessageText`) VALUES ('10203', '160', '44 TR 101/1 - Температура на входе в рессивер V-2');</v>
      </c>
    </row>
    <row r="189" spans="1:20" ht="10.5" customHeight="1">
      <c r="A189" s="361"/>
      <c r="B189" s="364"/>
      <c r="C189" s="6">
        <v>1</v>
      </c>
      <c r="D189" s="6">
        <v>161</v>
      </c>
      <c r="E189" s="245" t="s">
        <v>225</v>
      </c>
      <c r="F189" s="69" t="s">
        <v>69</v>
      </c>
      <c r="G189" s="61">
        <v>0</v>
      </c>
      <c r="H189" s="247">
        <v>200</v>
      </c>
      <c r="I189" s="106" t="s">
        <v>61</v>
      </c>
      <c r="J189" s="61">
        <v>30</v>
      </c>
      <c r="K189" s="62">
        <v>60</v>
      </c>
      <c r="L189" s="61"/>
      <c r="M189" s="62"/>
      <c r="N189" s="107"/>
      <c r="O189" s="120"/>
      <c r="P189" s="154"/>
      <c r="Q189" s="155"/>
      <c r="R189" s="163"/>
      <c r="S189" s="306"/>
      <c r="T189" s="295" t="str">
        <f t="shared" si="8"/>
        <v>INSERT INTO `mpt2`.`Messages` (`PlcID`, `MessageNum`, `MessageText`) VALUES ('10203', '161', '44 TR 101/3 - Температура этилена на выходе из холодильников Е-7');</v>
      </c>
    </row>
    <row r="190" spans="1:20" ht="10.5" customHeight="1">
      <c r="A190" s="361"/>
      <c r="B190" s="364"/>
      <c r="C190" s="6">
        <v>2</v>
      </c>
      <c r="D190" s="24">
        <v>162</v>
      </c>
      <c r="E190" s="245" t="s">
        <v>226</v>
      </c>
      <c r="F190" s="69" t="s">
        <v>70</v>
      </c>
      <c r="G190" s="61">
        <v>0</v>
      </c>
      <c r="H190" s="247">
        <v>200</v>
      </c>
      <c r="I190" s="106" t="s">
        <v>61</v>
      </c>
      <c r="J190" s="61">
        <v>30</v>
      </c>
      <c r="K190" s="62">
        <v>50</v>
      </c>
      <c r="L190" s="61"/>
      <c r="M190" s="62"/>
      <c r="N190" s="107"/>
      <c r="O190" s="120"/>
      <c r="P190" s="154"/>
      <c r="Q190" s="155"/>
      <c r="R190" s="163"/>
      <c r="S190" s="306"/>
      <c r="T190" s="295" t="str">
        <f t="shared" si="8"/>
        <v>INSERT INTO `mpt2`.`Messages` (`PlcID`, `MessageNum`, `MessageText`) VALUES ('10203', '162', '44 TR 101/4 - Температура на выходе из смесительной ёмкости V-5');</v>
      </c>
    </row>
    <row r="191" spans="1:20" ht="10.5" customHeight="1">
      <c r="A191" s="361"/>
      <c r="B191" s="364"/>
      <c r="C191" s="6">
        <v>3</v>
      </c>
      <c r="D191" s="6">
        <v>163</v>
      </c>
      <c r="E191" s="245" t="s">
        <v>227</v>
      </c>
      <c r="F191" s="69" t="s">
        <v>71</v>
      </c>
      <c r="G191" s="61">
        <v>0</v>
      </c>
      <c r="H191" s="247">
        <v>200</v>
      </c>
      <c r="I191" s="106" t="s">
        <v>61</v>
      </c>
      <c r="J191" s="61">
        <v>20</v>
      </c>
      <c r="K191" s="121">
        <v>80</v>
      </c>
      <c r="L191" s="61"/>
      <c r="M191" s="121"/>
      <c r="N191" s="107"/>
      <c r="O191" s="122"/>
      <c r="P191" s="154"/>
      <c r="Q191" s="155"/>
      <c r="R191" s="163"/>
      <c r="S191" s="306"/>
      <c r="T191" s="295" t="str">
        <f t="shared" si="8"/>
        <v>INSERT INTO `mpt2`.`Messages` (`PlcID`, `MessageNum`, `MessageText`) VALUES ('10203', '163', '44 TR 101/5 - Температура газа на входе в верхнюю часть реактора V-7 от С -3/1');</v>
      </c>
    </row>
    <row r="192" spans="1:20" ht="10.5" customHeight="1">
      <c r="A192" s="361"/>
      <c r="B192" s="364"/>
      <c r="C192" s="6">
        <v>4</v>
      </c>
      <c r="D192" s="24">
        <v>164</v>
      </c>
      <c r="E192" s="245" t="s">
        <v>228</v>
      </c>
      <c r="F192" s="69" t="s">
        <v>72</v>
      </c>
      <c r="G192" s="61">
        <v>0</v>
      </c>
      <c r="H192" s="247">
        <v>200</v>
      </c>
      <c r="I192" s="106" t="s">
        <v>61</v>
      </c>
      <c r="J192" s="61">
        <v>20</v>
      </c>
      <c r="K192" s="62">
        <v>80</v>
      </c>
      <c r="L192" s="109"/>
      <c r="M192" s="110"/>
      <c r="N192" s="107"/>
      <c r="O192" s="122"/>
      <c r="P192" s="154"/>
      <c r="Q192" s="155"/>
      <c r="R192" s="163"/>
      <c r="S192" s="306"/>
      <c r="T192" s="295" t="str">
        <f t="shared" si="8"/>
        <v>INSERT INTO `mpt2`.`Messages` (`PlcID`, `MessageNum`, `MessageText`) VALUES ('10203', '164', '44 TR 101/6 - Температура газа на входе в верхнюю часть реактора V-7 от С -3/2');</v>
      </c>
    </row>
    <row r="193" spans="1:20" ht="10.5" customHeight="1">
      <c r="A193" s="361"/>
      <c r="B193" s="364"/>
      <c r="C193" s="6">
        <v>5</v>
      </c>
      <c r="D193" s="6">
        <v>165</v>
      </c>
      <c r="E193" s="245" t="s">
        <v>229</v>
      </c>
      <c r="F193" s="69" t="s">
        <v>73</v>
      </c>
      <c r="G193" s="61">
        <v>0</v>
      </c>
      <c r="H193" s="247">
        <v>200</v>
      </c>
      <c r="I193" s="106" t="s">
        <v>61</v>
      </c>
      <c r="J193" s="61">
        <v>20</v>
      </c>
      <c r="K193" s="121">
        <v>80</v>
      </c>
      <c r="L193" s="109"/>
      <c r="M193" s="110"/>
      <c r="N193" s="107"/>
      <c r="O193" s="120"/>
      <c r="P193" s="154"/>
      <c r="Q193" s="155"/>
      <c r="R193" s="163"/>
      <c r="S193" s="306"/>
      <c r="T193" s="295" t="str">
        <f t="shared" si="8"/>
        <v>INSERT INTO `mpt2`.`Messages` (`PlcID`, `MessageNum`, `MessageText`) VALUES ('10203', '165', '44 TR 101/7 - Температура газа на входе в нижнюю часть реактора V-7 от С -3/1');</v>
      </c>
    </row>
    <row r="194" spans="1:20" ht="10.5" customHeight="1">
      <c r="A194" s="361"/>
      <c r="B194" s="364"/>
      <c r="C194" s="6">
        <v>6</v>
      </c>
      <c r="D194" s="24">
        <v>166</v>
      </c>
      <c r="E194" s="245" t="s">
        <v>230</v>
      </c>
      <c r="F194" s="69" t="s">
        <v>74</v>
      </c>
      <c r="G194" s="61">
        <v>0</v>
      </c>
      <c r="H194" s="247">
        <v>200</v>
      </c>
      <c r="I194" s="106" t="s">
        <v>61</v>
      </c>
      <c r="J194" s="118">
        <v>20</v>
      </c>
      <c r="K194" s="104">
        <v>80</v>
      </c>
      <c r="L194" s="109"/>
      <c r="M194" s="110"/>
      <c r="N194" s="107"/>
      <c r="O194" s="120"/>
      <c r="P194" s="154"/>
      <c r="Q194" s="155"/>
      <c r="R194" s="163"/>
      <c r="S194" s="306"/>
      <c r="T194" s="295" t="str">
        <f t="shared" si="8"/>
        <v>INSERT INTO `mpt2`.`Messages` (`PlcID`, `MessageNum`, `MessageText`) VALUES ('10203', '166', '44 TR 101/8 - Температура газа на входе в нижнюю часть реактора V-7 от С -3/2');</v>
      </c>
    </row>
    <row r="195" spans="1:20" ht="10.5" customHeight="1">
      <c r="A195" s="361"/>
      <c r="B195" s="364"/>
      <c r="C195" s="6">
        <v>7</v>
      </c>
      <c r="D195" s="6">
        <v>167</v>
      </c>
      <c r="E195" s="245" t="s">
        <v>231</v>
      </c>
      <c r="F195" s="69" t="s">
        <v>75</v>
      </c>
      <c r="G195" s="61">
        <v>0</v>
      </c>
      <c r="H195" s="247">
        <v>200</v>
      </c>
      <c r="I195" s="106" t="s">
        <v>61</v>
      </c>
      <c r="J195" s="118">
        <v>20</v>
      </c>
      <c r="K195" s="104">
        <v>80</v>
      </c>
      <c r="L195" s="109"/>
      <c r="M195" s="110"/>
      <c r="N195" s="107"/>
      <c r="O195" s="120"/>
      <c r="P195" s="154"/>
      <c r="Q195" s="155"/>
      <c r="R195" s="163"/>
      <c r="S195" s="306"/>
      <c r="T195" s="295" t="str">
        <f t="shared" si="8"/>
        <v>INSERT INTO `mpt2`.`Messages` (`PlcID`, `MessageNum`, `MessageText`) VALUES ('10203', '167', '44 TR 101/9 - Температура газа на входе в верхнюю часть реактора V-7');</v>
      </c>
    </row>
    <row r="196" spans="1:20" ht="10.5" customHeight="1">
      <c r="A196" s="361"/>
      <c r="B196" s="364"/>
      <c r="C196" s="6">
        <v>8</v>
      </c>
      <c r="D196" s="24">
        <v>168</v>
      </c>
      <c r="E196" s="245" t="s">
        <v>232</v>
      </c>
      <c r="F196" s="82" t="s">
        <v>76</v>
      </c>
      <c r="G196" s="118">
        <v>0</v>
      </c>
      <c r="H196" s="250">
        <v>200</v>
      </c>
      <c r="I196" s="106" t="s">
        <v>61</v>
      </c>
      <c r="J196" s="118">
        <v>20</v>
      </c>
      <c r="K196" s="104">
        <v>80</v>
      </c>
      <c r="L196" s="123"/>
      <c r="M196" s="124"/>
      <c r="N196" s="105"/>
      <c r="O196" s="120"/>
      <c r="P196" s="154"/>
      <c r="Q196" s="155"/>
      <c r="R196" s="163"/>
      <c r="S196" s="306"/>
      <c r="T196" s="295" t="str">
        <f t="shared" si="8"/>
        <v>INSERT INTO `mpt2`.`Messages` (`PlcID`, `MessageNum`, `MessageText`) VALUES ('10203', '168', '44 TR 101/10 - Температура газа на входе в нижнюю часть реактора V-7');</v>
      </c>
    </row>
    <row r="197" spans="1:20" ht="10.5" customHeight="1">
      <c r="A197" s="361"/>
      <c r="B197" s="364"/>
      <c r="C197" s="6">
        <v>9</v>
      </c>
      <c r="D197" s="6">
        <v>169</v>
      </c>
      <c r="E197" s="69" t="s">
        <v>233</v>
      </c>
      <c r="F197" s="82" t="s">
        <v>77</v>
      </c>
      <c r="G197" s="118">
        <v>0</v>
      </c>
      <c r="H197" s="103">
        <v>300</v>
      </c>
      <c r="I197" s="106" t="s">
        <v>61</v>
      </c>
      <c r="J197" s="61">
        <v>160</v>
      </c>
      <c r="K197" s="70">
        <v>170</v>
      </c>
      <c r="L197" s="109"/>
      <c r="M197" s="110"/>
      <c r="N197" s="107"/>
      <c r="O197" s="120"/>
      <c r="P197" s="154"/>
      <c r="Q197" s="155"/>
      <c r="R197" s="163"/>
      <c r="S197" s="306"/>
      <c r="T197" s="295" t="str">
        <f t="shared" si="8"/>
        <v>INSERT INTO `mpt2`.`Messages` (`PlcID`, `MessageNum`, `MessageText`) VALUES ('10203', '169', '44 TR 101/16 - Температура верхнего бандажа реактора V-7');</v>
      </c>
    </row>
    <row r="198" spans="1:20" ht="10.5" customHeight="1">
      <c r="A198" s="361"/>
      <c r="B198" s="364"/>
      <c r="C198" s="6">
        <v>10</v>
      </c>
      <c r="D198" s="24">
        <v>170</v>
      </c>
      <c r="E198" s="69" t="s">
        <v>234</v>
      </c>
      <c r="F198" s="69" t="s">
        <v>78</v>
      </c>
      <c r="G198" s="61">
        <v>0</v>
      </c>
      <c r="H198" s="70">
        <v>300</v>
      </c>
      <c r="I198" s="106" t="s">
        <v>61</v>
      </c>
      <c r="J198" s="61">
        <v>160</v>
      </c>
      <c r="K198" s="70">
        <v>170</v>
      </c>
      <c r="L198" s="109"/>
      <c r="M198" s="110"/>
      <c r="N198" s="107"/>
      <c r="O198" s="120"/>
      <c r="P198" s="154"/>
      <c r="Q198" s="155"/>
      <c r="R198" s="163"/>
      <c r="S198" s="306"/>
      <c r="T198" s="295" t="str">
        <f t="shared" si="8"/>
        <v>INSERT INTO `mpt2`.`Messages` (`PlcID`, `MessageNum`, `MessageText`) VALUES ('10203', '170', '44 TR 101/18 - Температура бандажа серидины нижней части реактора V-7');</v>
      </c>
    </row>
    <row r="199" spans="1:20" ht="10.5" customHeight="1">
      <c r="A199" s="361"/>
      <c r="B199" s="364"/>
      <c r="C199" s="6">
        <v>11</v>
      </c>
      <c r="D199" s="6">
        <v>171</v>
      </c>
      <c r="E199" s="69" t="s">
        <v>235</v>
      </c>
      <c r="F199" s="69" t="s">
        <v>79</v>
      </c>
      <c r="G199" s="61">
        <v>0</v>
      </c>
      <c r="H199" s="70">
        <v>300</v>
      </c>
      <c r="I199" s="106" t="s">
        <v>61</v>
      </c>
      <c r="J199" s="61">
        <v>160</v>
      </c>
      <c r="K199" s="70">
        <v>170</v>
      </c>
      <c r="L199" s="109"/>
      <c r="M199" s="110"/>
      <c r="N199" s="107"/>
      <c r="O199" s="120"/>
      <c r="P199" s="154"/>
      <c r="Q199" s="155"/>
      <c r="R199" s="163"/>
      <c r="S199" s="306"/>
      <c r="T199" s="295" t="str">
        <f t="shared" si="8"/>
        <v>INSERT INTO `mpt2`.`Messages` (`PlcID`, `MessageNum`, `MessageText`) VALUES ('10203', '171', '44 TR 101/19 - Температура нижнего бандажа реактора V-7');</v>
      </c>
    </row>
    <row r="200" spans="1:20" ht="10.5" customHeight="1">
      <c r="A200" s="361"/>
      <c r="B200" s="364"/>
      <c r="C200" s="6">
        <v>12</v>
      </c>
      <c r="D200" s="24">
        <v>172</v>
      </c>
      <c r="E200" s="69" t="s">
        <v>236</v>
      </c>
      <c r="F200" s="69" t="s">
        <v>80</v>
      </c>
      <c r="G200" s="61">
        <v>0</v>
      </c>
      <c r="H200" s="70">
        <v>300</v>
      </c>
      <c r="I200" s="106" t="s">
        <v>61</v>
      </c>
      <c r="J200" s="61">
        <v>0</v>
      </c>
      <c r="K200" s="70">
        <v>240</v>
      </c>
      <c r="L200" s="109"/>
      <c r="M200" s="110"/>
      <c r="N200" s="107"/>
      <c r="O200" s="120"/>
      <c r="P200" s="154"/>
      <c r="Q200" s="155"/>
      <c r="R200" s="163"/>
      <c r="S200" s="306"/>
      <c r="T200" s="295" t="str">
        <f t="shared" si="8"/>
        <v>INSERT INTO `mpt2`.`Messages` (`PlcID`, `MessageNum`, `MessageText`) VALUES ('10203', '172', '44 TR 101/20 - Температура воздуха из рубашек реактора V-7');</v>
      </c>
    </row>
    <row r="201" spans="1:20" ht="10.5" customHeight="1">
      <c r="A201" s="361"/>
      <c r="B201" s="364"/>
      <c r="C201" s="6">
        <v>13</v>
      </c>
      <c r="D201" s="6">
        <v>173</v>
      </c>
      <c r="E201" s="125"/>
      <c r="F201" s="125"/>
      <c r="G201" s="126"/>
      <c r="H201" s="127"/>
      <c r="I201" s="128"/>
      <c r="J201" s="126"/>
      <c r="K201" s="127"/>
      <c r="L201" s="109"/>
      <c r="M201" s="110"/>
      <c r="N201" s="107"/>
      <c r="O201" s="120"/>
      <c r="P201" s="154"/>
      <c r="Q201" s="155"/>
      <c r="R201" s="163"/>
      <c r="S201" s="306"/>
    </row>
    <row r="202" spans="1:20" ht="10.5" customHeight="1">
      <c r="A202" s="361"/>
      <c r="B202" s="364"/>
      <c r="C202" s="6">
        <v>14</v>
      </c>
      <c r="D202" s="24">
        <v>174</v>
      </c>
      <c r="E202" s="69"/>
      <c r="F202" s="69"/>
      <c r="G202" s="61"/>
      <c r="H202" s="70"/>
      <c r="I202" s="106"/>
      <c r="J202" s="61"/>
      <c r="K202" s="70"/>
      <c r="L202" s="109"/>
      <c r="M202" s="110"/>
      <c r="N202" s="107"/>
      <c r="O202" s="120"/>
      <c r="P202" s="154"/>
      <c r="Q202" s="155"/>
      <c r="R202" s="163"/>
      <c r="S202" s="306"/>
    </row>
    <row r="203" spans="1:20" ht="10.5" customHeight="1" thickBot="1">
      <c r="A203" s="362"/>
      <c r="B203" s="365"/>
      <c r="C203" s="14">
        <v>15</v>
      </c>
      <c r="D203" s="14">
        <v>175</v>
      </c>
      <c r="E203" s="88"/>
      <c r="F203" s="88"/>
      <c r="G203" s="111"/>
      <c r="H203" s="112"/>
      <c r="I203" s="113"/>
      <c r="J203" s="111"/>
      <c r="K203" s="112"/>
      <c r="L203" s="114"/>
      <c r="M203" s="115"/>
      <c r="N203" s="116"/>
      <c r="O203" s="129"/>
      <c r="P203" s="157"/>
      <c r="Q203" s="158"/>
      <c r="R203" s="164"/>
      <c r="S203" s="306"/>
    </row>
    <row r="204" spans="1:20" ht="10.5" customHeight="1" thickTop="1">
      <c r="A204" s="360" t="s">
        <v>36</v>
      </c>
      <c r="B204" s="368" t="s">
        <v>292</v>
      </c>
      <c r="C204" s="5">
        <v>0</v>
      </c>
      <c r="D204" s="24">
        <v>176</v>
      </c>
      <c r="E204" s="93" t="s">
        <v>238</v>
      </c>
      <c r="F204" s="93" t="s">
        <v>62</v>
      </c>
      <c r="G204" s="130">
        <v>0</v>
      </c>
      <c r="H204" s="131">
        <v>300</v>
      </c>
      <c r="I204" s="132" t="s">
        <v>61</v>
      </c>
      <c r="J204" s="130">
        <v>130</v>
      </c>
      <c r="K204" s="131">
        <v>280</v>
      </c>
      <c r="L204" s="133"/>
      <c r="M204" s="134"/>
      <c r="N204" s="135"/>
      <c r="O204" s="136"/>
      <c r="P204" s="160"/>
      <c r="Q204" s="161"/>
      <c r="R204" s="162"/>
      <c r="S204" s="306"/>
      <c r="T204" s="295" t="str">
        <f t="shared" ref="T204:T215" si="9">"INSERT INTO `mpt2`.`Messages` (`PlcID`, `MessageNum`, `MessageText`) VALUES ('10203', '"&amp;D204&amp;"', '"&amp;E204&amp;" - "&amp;F204&amp;"');"</f>
        <v>INSERT INTO `mpt2`.`Messages` (`PlcID`, `MessageNum`, `MessageText`) VALUES ('10203', '176', '44 TR 101/21 - Температура на выходе из продуктового холодильника E-10');</v>
      </c>
    </row>
    <row r="205" spans="1:20" ht="10.5" customHeight="1">
      <c r="A205" s="361"/>
      <c r="B205" s="364"/>
      <c r="C205" s="6">
        <v>1</v>
      </c>
      <c r="D205" s="6">
        <v>177</v>
      </c>
      <c r="E205" s="82" t="s">
        <v>239</v>
      </c>
      <c r="F205" s="82" t="s">
        <v>81</v>
      </c>
      <c r="G205" s="118">
        <v>0</v>
      </c>
      <c r="H205" s="103">
        <v>300</v>
      </c>
      <c r="I205" s="71" t="s">
        <v>61</v>
      </c>
      <c r="J205" s="118">
        <v>130</v>
      </c>
      <c r="K205" s="103">
        <v>270</v>
      </c>
      <c r="L205" s="109"/>
      <c r="M205" s="110"/>
      <c r="N205" s="107"/>
      <c r="O205" s="122"/>
      <c r="P205" s="154"/>
      <c r="Q205" s="155"/>
      <c r="R205" s="163"/>
      <c r="S205" s="306"/>
      <c r="T205" s="295" t="str">
        <f t="shared" si="9"/>
        <v>INSERT INTO `mpt2`.`Messages` (`PlcID`, `MessageNum`, `MessageText`) VALUES ('10203', '177', '44 TR 101/26 - Температура газа из отделителя высокого давления V-8');</v>
      </c>
    </row>
    <row r="206" spans="1:20" ht="10.5" customHeight="1">
      <c r="A206" s="361"/>
      <c r="B206" s="364"/>
      <c r="C206" s="6">
        <v>2</v>
      </c>
      <c r="D206" s="24">
        <v>178</v>
      </c>
      <c r="E206" s="69" t="s">
        <v>240</v>
      </c>
      <c r="F206" s="69" t="s">
        <v>83</v>
      </c>
      <c r="G206" s="61">
        <v>0</v>
      </c>
      <c r="H206" s="70">
        <v>300</v>
      </c>
      <c r="I206" s="106" t="s">
        <v>61</v>
      </c>
      <c r="J206" s="61">
        <v>130</v>
      </c>
      <c r="K206" s="70">
        <v>270</v>
      </c>
      <c r="L206" s="123"/>
      <c r="M206" s="124"/>
      <c r="N206" s="105"/>
      <c r="O206" s="137"/>
      <c r="P206" s="154"/>
      <c r="Q206" s="155"/>
      <c r="R206" s="163"/>
      <c r="S206" s="306"/>
      <c r="T206" s="295" t="str">
        <f t="shared" si="9"/>
        <v>INSERT INTO `mpt2`.`Messages` (`PlcID`, `MessageNum`, `MessageText`) VALUES ('10203', '178', '44 TR 101/27 - Температура на входе в холодильники Е-7/1÷3 возвратного газа');</v>
      </c>
    </row>
    <row r="207" spans="1:20" ht="10.5" customHeight="1">
      <c r="A207" s="361"/>
      <c r="B207" s="364"/>
      <c r="C207" s="6">
        <v>3</v>
      </c>
      <c r="D207" s="6">
        <v>179</v>
      </c>
      <c r="E207" s="69" t="s">
        <v>241</v>
      </c>
      <c r="F207" s="69" t="s">
        <v>82</v>
      </c>
      <c r="G207" s="61">
        <v>0</v>
      </c>
      <c r="H207" s="70">
        <v>300</v>
      </c>
      <c r="I207" s="106" t="s">
        <v>61</v>
      </c>
      <c r="J207" s="61">
        <v>40</v>
      </c>
      <c r="K207" s="70">
        <v>160</v>
      </c>
      <c r="L207" s="109"/>
      <c r="M207" s="110"/>
      <c r="N207" s="107"/>
      <c r="O207" s="120"/>
      <c r="P207" s="154"/>
      <c r="Q207" s="155"/>
      <c r="R207" s="163"/>
      <c r="S207" s="306"/>
      <c r="T207" s="295" t="str">
        <f t="shared" si="9"/>
        <v>INSERT INTO `mpt2`.`Messages` (`PlcID`, `MessageNum`, `MessageText`) VALUES ('10203', '179', '44 TR 101/28 - Температура на выходе из холодильника Е-7/1');</v>
      </c>
    </row>
    <row r="208" spans="1:20" ht="10.5" customHeight="1">
      <c r="A208" s="361"/>
      <c r="B208" s="364"/>
      <c r="C208" s="6">
        <v>4</v>
      </c>
      <c r="D208" s="24">
        <v>180</v>
      </c>
      <c r="E208" s="69" t="s">
        <v>242</v>
      </c>
      <c r="F208" s="69" t="s">
        <v>84</v>
      </c>
      <c r="G208" s="61">
        <v>0</v>
      </c>
      <c r="H208" s="70">
        <v>300</v>
      </c>
      <c r="I208" s="106" t="s">
        <v>61</v>
      </c>
      <c r="J208" s="61">
        <v>40</v>
      </c>
      <c r="K208" s="70">
        <v>160</v>
      </c>
      <c r="L208" s="109"/>
      <c r="M208" s="110"/>
      <c r="N208" s="107"/>
      <c r="O208" s="120"/>
      <c r="P208" s="154"/>
      <c r="Q208" s="155"/>
      <c r="R208" s="163"/>
      <c r="S208" s="306"/>
      <c r="T208" s="295" t="str">
        <f t="shared" si="9"/>
        <v>INSERT INTO `mpt2`.`Messages` (`PlcID`, `MessageNum`, `MessageText`) VALUES ('10203', '180', '44 TR 101/29 - Температура на выходе из холодильника Е-7/2');</v>
      </c>
    </row>
    <row r="209" spans="1:20" ht="10.5" customHeight="1">
      <c r="A209" s="361"/>
      <c r="B209" s="364"/>
      <c r="C209" s="6">
        <v>5</v>
      </c>
      <c r="D209" s="6">
        <v>181</v>
      </c>
      <c r="E209" s="69" t="s">
        <v>243</v>
      </c>
      <c r="F209" s="69" t="s">
        <v>85</v>
      </c>
      <c r="G209" s="61">
        <v>0</v>
      </c>
      <c r="H209" s="70">
        <v>300</v>
      </c>
      <c r="I209" s="106" t="s">
        <v>61</v>
      </c>
      <c r="J209" s="61">
        <v>40</v>
      </c>
      <c r="K209" s="70">
        <v>160</v>
      </c>
      <c r="L209" s="109"/>
      <c r="M209" s="110"/>
      <c r="N209" s="107"/>
      <c r="O209" s="122"/>
      <c r="P209" s="154"/>
      <c r="Q209" s="155"/>
      <c r="R209" s="163"/>
      <c r="S209" s="306"/>
      <c r="T209" s="295" t="str">
        <f t="shared" si="9"/>
        <v>INSERT INTO `mpt2`.`Messages` (`PlcID`, `MessageNum`, `MessageText`) VALUES ('10203', '181', '44 TR 101/30 - Температура на выходе из холодильника Е-7/3');</v>
      </c>
    </row>
    <row r="210" spans="1:20" ht="10.5" customHeight="1">
      <c r="A210" s="361"/>
      <c r="B210" s="364"/>
      <c r="C210" s="6">
        <v>6</v>
      </c>
      <c r="D210" s="24">
        <v>182</v>
      </c>
      <c r="E210" s="69" t="s">
        <v>244</v>
      </c>
      <c r="F210" s="69"/>
      <c r="G210" s="61">
        <v>0</v>
      </c>
      <c r="H210" s="70">
        <v>300</v>
      </c>
      <c r="I210" s="106" t="s">
        <v>61</v>
      </c>
      <c r="J210" s="61">
        <v>130</v>
      </c>
      <c r="K210" s="70">
        <v>250</v>
      </c>
      <c r="L210" s="123"/>
      <c r="M210" s="124"/>
      <c r="N210" s="105"/>
      <c r="O210" s="137"/>
      <c r="P210" s="154"/>
      <c r="Q210" s="155"/>
      <c r="R210" s="163"/>
      <c r="S210" s="306"/>
      <c r="T210" s="295" t="str">
        <f t="shared" si="9"/>
        <v>INSERT INTO `mpt2`.`Messages` (`PlcID`, `MessageNum`, `MessageText`) VALUES ('10203', '182', '44 TR 101/31 - ');</v>
      </c>
    </row>
    <row r="211" spans="1:20" ht="10.5" customHeight="1">
      <c r="A211" s="361"/>
      <c r="B211" s="364"/>
      <c r="C211" s="6">
        <v>7</v>
      </c>
      <c r="D211" s="6">
        <v>183</v>
      </c>
      <c r="E211" s="82" t="s">
        <v>245</v>
      </c>
      <c r="F211" s="82" t="s">
        <v>87</v>
      </c>
      <c r="G211" s="118">
        <v>0</v>
      </c>
      <c r="H211" s="103">
        <v>100</v>
      </c>
      <c r="I211" s="71" t="s">
        <v>61</v>
      </c>
      <c r="J211" s="118">
        <v>0</v>
      </c>
      <c r="K211" s="103">
        <v>85</v>
      </c>
      <c r="L211" s="109"/>
      <c r="M211" s="110"/>
      <c r="N211" s="107"/>
      <c r="O211" s="120"/>
      <c r="P211" s="154"/>
      <c r="Q211" s="155"/>
      <c r="R211" s="163"/>
      <c r="S211" s="306"/>
      <c r="T211" s="295" t="str">
        <f t="shared" si="9"/>
        <v>INSERT INTO `mpt2`.`Messages` (`PlcID`, `MessageNum`, `MessageText`) VALUES ('10203', '183', '44 TR 101/32 - Температура сдувочного газа из F-3');</v>
      </c>
    </row>
    <row r="212" spans="1:20" ht="10.5" customHeight="1">
      <c r="A212" s="361"/>
      <c r="B212" s="364"/>
      <c r="C212" s="6">
        <v>8</v>
      </c>
      <c r="D212" s="24">
        <v>184</v>
      </c>
      <c r="E212" s="69" t="s">
        <v>246</v>
      </c>
      <c r="F212" s="82" t="s">
        <v>88</v>
      </c>
      <c r="G212" s="61">
        <v>0</v>
      </c>
      <c r="H212" s="70">
        <v>300</v>
      </c>
      <c r="I212" s="106" t="s">
        <v>61</v>
      </c>
      <c r="J212" s="61">
        <v>125</v>
      </c>
      <c r="K212" s="70">
        <v>210</v>
      </c>
      <c r="L212" s="109"/>
      <c r="M212" s="110"/>
      <c r="N212" s="107"/>
      <c r="O212" s="120"/>
      <c r="P212" s="154"/>
      <c r="Q212" s="155"/>
      <c r="R212" s="163"/>
      <c r="S212" s="306"/>
      <c r="T212" s="295" t="str">
        <f t="shared" si="9"/>
        <v>INSERT INTO `mpt2`.`Messages` (`PlcID`, `MessageNum`, `MessageText`) VALUES ('10203', '184', '44 TR 101/40 - Температура конденсата из материалапровода холодильника Е-10');</v>
      </c>
    </row>
    <row r="213" spans="1:20" ht="10.5" customHeight="1">
      <c r="A213" s="361"/>
      <c r="B213" s="364"/>
      <c r="C213" s="6">
        <v>9</v>
      </c>
      <c r="D213" s="6">
        <v>185</v>
      </c>
      <c r="E213" s="69" t="s">
        <v>247</v>
      </c>
      <c r="F213" s="69" t="s">
        <v>89</v>
      </c>
      <c r="G213" s="61">
        <v>0</v>
      </c>
      <c r="H213" s="70">
        <v>300</v>
      </c>
      <c r="I213" s="106" t="s">
        <v>61</v>
      </c>
      <c r="J213" s="61">
        <v>125</v>
      </c>
      <c r="K213" s="70">
        <v>210</v>
      </c>
      <c r="L213" s="109"/>
      <c r="M213" s="110"/>
      <c r="N213" s="107"/>
      <c r="O213" s="120"/>
      <c r="P213" s="154"/>
      <c r="Q213" s="155"/>
      <c r="R213" s="163"/>
      <c r="S213" s="306"/>
      <c r="T213" s="295" t="str">
        <f t="shared" si="9"/>
        <v>INSERT INTO `mpt2`.`Messages` (`PlcID`, `MessageNum`, `MessageText`) VALUES ('10203', '185', '44 TR 101/41 - Температура из рубашки продуктового холодильника Е-10');</v>
      </c>
    </row>
    <row r="214" spans="1:20" ht="10.5" customHeight="1">
      <c r="A214" s="361"/>
      <c r="B214" s="364"/>
      <c r="C214" s="6">
        <v>10</v>
      </c>
      <c r="D214" s="24">
        <v>186</v>
      </c>
      <c r="E214" s="69" t="s">
        <v>248</v>
      </c>
      <c r="F214" s="69" t="s">
        <v>90</v>
      </c>
      <c r="G214" s="61">
        <v>0</v>
      </c>
      <c r="H214" s="70">
        <v>300</v>
      </c>
      <c r="I214" s="106" t="s">
        <v>61</v>
      </c>
      <c r="J214" s="61">
        <v>125</v>
      </c>
      <c r="K214" s="70">
        <v>210</v>
      </c>
      <c r="L214" s="109"/>
      <c r="M214" s="110"/>
      <c r="N214" s="107"/>
      <c r="O214" s="120"/>
      <c r="P214" s="154"/>
      <c r="Q214" s="155"/>
      <c r="R214" s="163"/>
      <c r="S214" s="306"/>
      <c r="T214" s="295" t="str">
        <f t="shared" si="9"/>
        <v>INSERT INTO `mpt2`.`Messages` (`PlcID`, `MessageNum`, `MessageText`) VALUES ('10203', '186', '44 TR 101/43 - Температура конденсата из рубашки отделителя высого давления V-8');</v>
      </c>
    </row>
    <row r="215" spans="1:20" ht="10.5" customHeight="1">
      <c r="A215" s="361"/>
      <c r="B215" s="364"/>
      <c r="C215" s="6">
        <v>11</v>
      </c>
      <c r="D215" s="6">
        <v>187</v>
      </c>
      <c r="E215" s="245" t="s">
        <v>237</v>
      </c>
      <c r="F215" s="69" t="s">
        <v>92</v>
      </c>
      <c r="G215" s="61">
        <v>0</v>
      </c>
      <c r="H215" s="247">
        <v>200</v>
      </c>
      <c r="I215" s="106" t="s">
        <v>61</v>
      </c>
      <c r="J215" s="61">
        <v>0</v>
      </c>
      <c r="K215" s="62">
        <v>0</v>
      </c>
      <c r="L215" s="109"/>
      <c r="M215" s="110"/>
      <c r="N215" s="107"/>
      <c r="O215" s="120"/>
      <c r="P215" s="154"/>
      <c r="Q215" s="155"/>
      <c r="R215" s="163"/>
      <c r="S215" s="306"/>
      <c r="T215" s="295" t="str">
        <f t="shared" si="9"/>
        <v>INSERT INTO `mpt2`.`Messages` (`PlcID`, `MessageNum`, `MessageText`) VALUES ('10203', '187', '44 TR101/52 - Температура конденсата в рубашке нагнетательных тр-дов Р-0,Р-1,Р-2');</v>
      </c>
    </row>
    <row r="216" spans="1:20" ht="10.5" customHeight="1">
      <c r="A216" s="361"/>
      <c r="B216" s="364"/>
      <c r="C216" s="6">
        <v>12</v>
      </c>
      <c r="D216" s="24">
        <v>188</v>
      </c>
      <c r="E216" s="69"/>
      <c r="F216" s="69"/>
      <c r="G216" s="61"/>
      <c r="H216" s="70"/>
      <c r="I216" s="106"/>
      <c r="J216" s="61"/>
      <c r="K216" s="62"/>
      <c r="L216" s="107"/>
      <c r="M216" s="62"/>
      <c r="N216" s="107"/>
      <c r="O216" s="120"/>
      <c r="P216" s="154"/>
      <c r="Q216" s="155"/>
      <c r="R216" s="163"/>
      <c r="S216" s="306"/>
    </row>
    <row r="217" spans="1:20" ht="10.5" customHeight="1">
      <c r="A217" s="361"/>
      <c r="B217" s="364"/>
      <c r="C217" s="6">
        <v>13</v>
      </c>
      <c r="D217" s="6">
        <v>189</v>
      </c>
      <c r="E217" s="69"/>
      <c r="F217" s="69"/>
      <c r="G217" s="61"/>
      <c r="H217" s="70"/>
      <c r="I217" s="106"/>
      <c r="J217" s="61"/>
      <c r="K217" s="62"/>
      <c r="L217" s="107"/>
      <c r="M217" s="120"/>
      <c r="N217" s="107"/>
      <c r="O217" s="120"/>
      <c r="P217" s="154"/>
      <c r="Q217" s="155"/>
      <c r="R217" s="163"/>
      <c r="S217" s="306"/>
    </row>
    <row r="218" spans="1:20" ht="10.5" customHeight="1">
      <c r="A218" s="361"/>
      <c r="B218" s="364"/>
      <c r="C218" s="6">
        <v>14</v>
      </c>
      <c r="D218" s="24">
        <v>190</v>
      </c>
      <c r="E218" s="69"/>
      <c r="F218" s="69"/>
      <c r="G218" s="61"/>
      <c r="H218" s="70"/>
      <c r="I218" s="106"/>
      <c r="J218" s="107"/>
      <c r="K218" s="120"/>
      <c r="L218" s="107"/>
      <c r="M218" s="120"/>
      <c r="N218" s="107"/>
      <c r="O218" s="120"/>
      <c r="P218" s="154"/>
      <c r="Q218" s="155"/>
      <c r="R218" s="163"/>
      <c r="S218" s="306"/>
    </row>
    <row r="219" spans="1:20" ht="10.5" customHeight="1" thickBot="1">
      <c r="A219" s="367"/>
      <c r="B219" s="346"/>
      <c r="C219" s="14">
        <v>15</v>
      </c>
      <c r="D219" s="14">
        <v>191</v>
      </c>
      <c r="E219" s="148"/>
      <c r="F219" s="148"/>
      <c r="G219" s="141"/>
      <c r="H219" s="142"/>
      <c r="I219" s="143"/>
      <c r="J219" s="141"/>
      <c r="K219" s="149"/>
      <c r="L219" s="144"/>
      <c r="M219" s="150"/>
      <c r="N219" s="144"/>
      <c r="O219" s="150"/>
      <c r="P219" s="145"/>
      <c r="Q219" s="146"/>
      <c r="R219" s="147"/>
      <c r="S219" s="307"/>
    </row>
    <row r="220" spans="1:20" s="251" customFormat="1" ht="10.5" customHeight="1" thickTop="1">
      <c r="A220" s="352" t="s">
        <v>36</v>
      </c>
      <c r="B220" s="354" t="s">
        <v>295</v>
      </c>
      <c r="C220" s="252">
        <v>0</v>
      </c>
      <c r="D220" s="253">
        <v>192</v>
      </c>
      <c r="E220" s="254"/>
      <c r="F220" s="254"/>
      <c r="G220" s="255">
        <v>0</v>
      </c>
      <c r="H220" s="256"/>
      <c r="I220" s="257" t="s">
        <v>61</v>
      </c>
      <c r="J220" s="255"/>
      <c r="K220" s="256"/>
      <c r="L220" s="258"/>
      <c r="M220" s="259"/>
      <c r="N220" s="260"/>
      <c r="O220" s="261"/>
      <c r="P220" s="262"/>
      <c r="Q220" s="263"/>
      <c r="R220" s="357" t="s">
        <v>425</v>
      </c>
      <c r="S220" s="308"/>
    </row>
    <row r="221" spans="1:20" s="251" customFormat="1" ht="10.5" customHeight="1">
      <c r="A221" s="352"/>
      <c r="B221" s="355"/>
      <c r="C221" s="264">
        <v>1</v>
      </c>
      <c r="D221" s="264">
        <v>193</v>
      </c>
      <c r="E221" s="265"/>
      <c r="F221" s="265"/>
      <c r="G221" s="266">
        <v>0</v>
      </c>
      <c r="H221" s="267"/>
      <c r="I221" s="268" t="s">
        <v>61</v>
      </c>
      <c r="J221" s="266"/>
      <c r="K221" s="267"/>
      <c r="L221" s="269"/>
      <c r="M221" s="270"/>
      <c r="N221" s="271"/>
      <c r="O221" s="272"/>
      <c r="P221" s="273"/>
      <c r="Q221" s="274"/>
      <c r="R221" s="358"/>
      <c r="S221" s="309"/>
    </row>
    <row r="222" spans="1:20" s="251" customFormat="1" ht="10.5" customHeight="1">
      <c r="A222" s="352"/>
      <c r="B222" s="355"/>
      <c r="C222" s="264">
        <v>2</v>
      </c>
      <c r="D222" s="253">
        <v>194</v>
      </c>
      <c r="E222" s="241"/>
      <c r="F222" s="241"/>
      <c r="G222" s="275">
        <v>0</v>
      </c>
      <c r="H222" s="276"/>
      <c r="I222" s="277" t="s">
        <v>61</v>
      </c>
      <c r="J222" s="275"/>
      <c r="K222" s="276"/>
      <c r="L222" s="278"/>
      <c r="M222" s="279"/>
      <c r="N222" s="280"/>
      <c r="O222" s="281"/>
      <c r="P222" s="273"/>
      <c r="Q222" s="274"/>
      <c r="R222" s="358"/>
      <c r="S222" s="309"/>
    </row>
    <row r="223" spans="1:20" s="251" customFormat="1" ht="10.5" customHeight="1">
      <c r="A223" s="352"/>
      <c r="B223" s="355"/>
      <c r="C223" s="264">
        <v>3</v>
      </c>
      <c r="D223" s="264">
        <v>195</v>
      </c>
      <c r="E223" s="241"/>
      <c r="F223" s="241"/>
      <c r="G223" s="275">
        <v>0</v>
      </c>
      <c r="H223" s="276"/>
      <c r="I223" s="277" t="s">
        <v>61</v>
      </c>
      <c r="J223" s="275"/>
      <c r="K223" s="276"/>
      <c r="L223" s="269"/>
      <c r="M223" s="270"/>
      <c r="N223" s="271"/>
      <c r="O223" s="282"/>
      <c r="P223" s="273"/>
      <c r="Q223" s="274"/>
      <c r="R223" s="358"/>
      <c r="S223" s="309"/>
    </row>
    <row r="224" spans="1:20" s="251" customFormat="1" ht="10.5" customHeight="1">
      <c r="A224" s="352"/>
      <c r="B224" s="355"/>
      <c r="C224" s="264">
        <v>4</v>
      </c>
      <c r="D224" s="253">
        <v>196</v>
      </c>
      <c r="E224" s="241"/>
      <c r="F224" s="241"/>
      <c r="G224" s="275">
        <v>0</v>
      </c>
      <c r="H224" s="276"/>
      <c r="I224" s="277" t="s">
        <v>61</v>
      </c>
      <c r="J224" s="275"/>
      <c r="K224" s="276"/>
      <c r="L224" s="269"/>
      <c r="M224" s="270"/>
      <c r="N224" s="271"/>
      <c r="O224" s="282"/>
      <c r="P224" s="273"/>
      <c r="Q224" s="274"/>
      <c r="R224" s="358"/>
      <c r="S224" s="309"/>
    </row>
    <row r="225" spans="1:19" s="251" customFormat="1" ht="10.5" customHeight="1">
      <c r="A225" s="352"/>
      <c r="B225" s="355"/>
      <c r="C225" s="264">
        <v>5</v>
      </c>
      <c r="D225" s="264">
        <v>197</v>
      </c>
      <c r="E225" s="241"/>
      <c r="F225" s="241"/>
      <c r="G225" s="275">
        <v>0</v>
      </c>
      <c r="H225" s="276"/>
      <c r="I225" s="277" t="s">
        <v>61</v>
      </c>
      <c r="J225" s="275"/>
      <c r="K225" s="276"/>
      <c r="L225" s="269"/>
      <c r="M225" s="270"/>
      <c r="N225" s="271"/>
      <c r="O225" s="272"/>
      <c r="P225" s="273"/>
      <c r="Q225" s="274"/>
      <c r="R225" s="358"/>
      <c r="S225" s="309"/>
    </row>
    <row r="226" spans="1:19" s="251" customFormat="1" ht="10.5" customHeight="1">
      <c r="A226" s="352"/>
      <c r="B226" s="355"/>
      <c r="C226" s="264">
        <v>6</v>
      </c>
      <c r="D226" s="253">
        <v>198</v>
      </c>
      <c r="E226" s="241"/>
      <c r="F226" s="241"/>
      <c r="G226" s="275">
        <v>0</v>
      </c>
      <c r="H226" s="276"/>
      <c r="I226" s="277" t="s">
        <v>61</v>
      </c>
      <c r="J226" s="275"/>
      <c r="K226" s="276"/>
      <c r="L226" s="278"/>
      <c r="M226" s="279"/>
      <c r="N226" s="280"/>
      <c r="O226" s="281"/>
      <c r="P226" s="273"/>
      <c r="Q226" s="274"/>
      <c r="R226" s="358"/>
      <c r="S226" s="309"/>
    </row>
    <row r="227" spans="1:19" s="251" customFormat="1" ht="10.5" customHeight="1">
      <c r="A227" s="352"/>
      <c r="B227" s="355"/>
      <c r="C227" s="264">
        <v>7</v>
      </c>
      <c r="D227" s="264">
        <v>199</v>
      </c>
      <c r="E227" s="265"/>
      <c r="F227" s="265"/>
      <c r="G227" s="266">
        <v>0</v>
      </c>
      <c r="H227" s="267"/>
      <c r="I227" s="268" t="s">
        <v>61</v>
      </c>
      <c r="J227" s="266"/>
      <c r="K227" s="267"/>
      <c r="L227" s="269"/>
      <c r="M227" s="270"/>
      <c r="N227" s="271"/>
      <c r="O227" s="282"/>
      <c r="P227" s="273"/>
      <c r="Q227" s="274"/>
      <c r="R227" s="358"/>
      <c r="S227" s="309"/>
    </row>
    <row r="228" spans="1:19" s="251" customFormat="1" ht="10.5" customHeight="1">
      <c r="A228" s="352"/>
      <c r="B228" s="355"/>
      <c r="C228" s="264">
        <v>8</v>
      </c>
      <c r="D228" s="253">
        <v>200</v>
      </c>
      <c r="E228" s="241"/>
      <c r="F228" s="265"/>
      <c r="G228" s="275">
        <v>0</v>
      </c>
      <c r="H228" s="276"/>
      <c r="I228" s="277" t="s">
        <v>61</v>
      </c>
      <c r="J228" s="275"/>
      <c r="K228" s="276"/>
      <c r="L228" s="269"/>
      <c r="M228" s="270"/>
      <c r="N228" s="271"/>
      <c r="O228" s="282"/>
      <c r="P228" s="273"/>
      <c r="Q228" s="274"/>
      <c r="R228" s="358"/>
      <c r="S228" s="309"/>
    </row>
    <row r="229" spans="1:19" s="251" customFormat="1" ht="10.5" customHeight="1">
      <c r="A229" s="352"/>
      <c r="B229" s="355"/>
      <c r="C229" s="264">
        <v>9</v>
      </c>
      <c r="D229" s="264">
        <v>201</v>
      </c>
      <c r="E229" s="241"/>
      <c r="F229" s="241"/>
      <c r="G229" s="275">
        <v>0</v>
      </c>
      <c r="H229" s="276"/>
      <c r="I229" s="277" t="s">
        <v>61</v>
      </c>
      <c r="J229" s="275"/>
      <c r="K229" s="276"/>
      <c r="L229" s="269"/>
      <c r="M229" s="270"/>
      <c r="N229" s="271"/>
      <c r="O229" s="282"/>
      <c r="P229" s="273"/>
      <c r="Q229" s="274"/>
      <c r="R229" s="358"/>
      <c r="S229" s="309"/>
    </row>
    <row r="230" spans="1:19" s="251" customFormat="1" ht="10.5" customHeight="1">
      <c r="A230" s="352"/>
      <c r="B230" s="355"/>
      <c r="C230" s="264">
        <v>10</v>
      </c>
      <c r="D230" s="253">
        <v>202</v>
      </c>
      <c r="E230" s="241"/>
      <c r="F230" s="241"/>
      <c r="G230" s="275">
        <v>0</v>
      </c>
      <c r="H230" s="276"/>
      <c r="I230" s="277" t="s">
        <v>61</v>
      </c>
      <c r="J230" s="275"/>
      <c r="K230" s="276"/>
      <c r="L230" s="269"/>
      <c r="M230" s="270"/>
      <c r="N230" s="271"/>
      <c r="O230" s="282"/>
      <c r="P230" s="273"/>
      <c r="Q230" s="274"/>
      <c r="R230" s="358"/>
      <c r="S230" s="309"/>
    </row>
    <row r="231" spans="1:19" s="251" customFormat="1" ht="10.5" customHeight="1">
      <c r="A231" s="352"/>
      <c r="B231" s="355"/>
      <c r="C231" s="264">
        <v>11</v>
      </c>
      <c r="D231" s="264">
        <v>203</v>
      </c>
      <c r="E231" s="241"/>
      <c r="F231" s="241"/>
      <c r="G231" s="275">
        <v>0</v>
      </c>
      <c r="H231" s="276"/>
      <c r="I231" s="277" t="s">
        <v>61</v>
      </c>
      <c r="J231" s="275"/>
      <c r="K231" s="283"/>
      <c r="L231" s="269"/>
      <c r="M231" s="270"/>
      <c r="N231" s="271"/>
      <c r="O231" s="282"/>
      <c r="P231" s="273"/>
      <c r="Q231" s="274"/>
      <c r="R231" s="358"/>
      <c r="S231" s="309"/>
    </row>
    <row r="232" spans="1:19" s="251" customFormat="1" ht="10.5" customHeight="1">
      <c r="A232" s="352"/>
      <c r="B232" s="355"/>
      <c r="C232" s="264">
        <v>12</v>
      </c>
      <c r="D232" s="253">
        <v>204</v>
      </c>
      <c r="E232" s="241"/>
      <c r="F232" s="241"/>
      <c r="G232" s="275"/>
      <c r="H232" s="276"/>
      <c r="I232" s="277"/>
      <c r="J232" s="275"/>
      <c r="K232" s="283"/>
      <c r="L232" s="271"/>
      <c r="M232" s="283"/>
      <c r="N232" s="271"/>
      <c r="O232" s="282"/>
      <c r="P232" s="273"/>
      <c r="Q232" s="274"/>
      <c r="R232" s="358"/>
      <c r="S232" s="309"/>
    </row>
    <row r="233" spans="1:19" s="251" customFormat="1" ht="10.5" customHeight="1">
      <c r="A233" s="352"/>
      <c r="B233" s="355"/>
      <c r="C233" s="264">
        <v>13</v>
      </c>
      <c r="D233" s="264">
        <v>205</v>
      </c>
      <c r="E233" s="241"/>
      <c r="F233" s="241"/>
      <c r="G233" s="275"/>
      <c r="H233" s="276"/>
      <c r="I233" s="277"/>
      <c r="J233" s="275"/>
      <c r="K233" s="283"/>
      <c r="L233" s="271"/>
      <c r="M233" s="282"/>
      <c r="N233" s="271"/>
      <c r="O233" s="282"/>
      <c r="P233" s="273"/>
      <c r="Q233" s="274"/>
      <c r="R233" s="358"/>
      <c r="S233" s="309"/>
    </row>
    <row r="234" spans="1:19" ht="10.5" customHeight="1">
      <c r="A234" s="352"/>
      <c r="B234" s="355"/>
      <c r="C234" s="264">
        <v>14</v>
      </c>
      <c r="D234" s="253">
        <v>206</v>
      </c>
      <c r="E234" s="241"/>
      <c r="F234" s="241"/>
      <c r="G234" s="275"/>
      <c r="H234" s="276"/>
      <c r="I234" s="277"/>
      <c r="J234" s="271"/>
      <c r="K234" s="282"/>
      <c r="L234" s="271"/>
      <c r="M234" s="282"/>
      <c r="N234" s="271"/>
      <c r="O234" s="282"/>
      <c r="P234" s="273"/>
      <c r="Q234" s="274"/>
      <c r="R234" s="358"/>
      <c r="S234" s="309"/>
    </row>
    <row r="235" spans="1:19" ht="10.5" customHeight="1" thickBot="1">
      <c r="A235" s="353"/>
      <c r="B235" s="356"/>
      <c r="C235" s="284">
        <v>15</v>
      </c>
      <c r="D235" s="284">
        <v>207</v>
      </c>
      <c r="E235" s="285"/>
      <c r="F235" s="285"/>
      <c r="G235" s="286"/>
      <c r="H235" s="287"/>
      <c r="I235" s="288"/>
      <c r="J235" s="286"/>
      <c r="K235" s="289"/>
      <c r="L235" s="290"/>
      <c r="M235" s="291"/>
      <c r="N235" s="290"/>
      <c r="O235" s="291"/>
      <c r="P235" s="292"/>
      <c r="Q235" s="293"/>
      <c r="R235" s="359"/>
      <c r="S235" s="309"/>
    </row>
    <row r="236" spans="1:19" ht="10.5" customHeight="1" thickTop="1">
      <c r="A236" s="409" t="s">
        <v>36</v>
      </c>
      <c r="B236" s="411" t="s">
        <v>438</v>
      </c>
      <c r="C236" s="413">
        <v>0</v>
      </c>
      <c r="D236" s="414">
        <v>208</v>
      </c>
      <c r="E236" s="406" t="s">
        <v>439</v>
      </c>
      <c r="F236" s="93" t="s">
        <v>440</v>
      </c>
      <c r="G236" s="407">
        <v>0</v>
      </c>
      <c r="H236" s="408">
        <v>400</v>
      </c>
      <c r="I236" s="406" t="s">
        <v>61</v>
      </c>
      <c r="J236" s="130">
        <v>175</v>
      </c>
      <c r="K236" s="131">
        <v>190</v>
      </c>
      <c r="L236" s="130">
        <v>172</v>
      </c>
      <c r="M236" s="134"/>
      <c r="N236" s="135"/>
      <c r="O236" s="136"/>
      <c r="P236" s="160"/>
      <c r="Q236" s="161"/>
      <c r="R236" s="162" t="s">
        <v>285</v>
      </c>
    </row>
    <row r="237" spans="1:19" ht="10.5" customHeight="1">
      <c r="A237" s="410"/>
      <c r="B237" s="412"/>
      <c r="C237" s="347"/>
      <c r="D237" s="337"/>
      <c r="E237" s="331"/>
      <c r="F237" s="82" t="s">
        <v>441</v>
      </c>
      <c r="G237" s="341"/>
      <c r="H237" s="344"/>
      <c r="I237" s="331"/>
      <c r="J237" s="118">
        <v>170</v>
      </c>
      <c r="K237" s="103">
        <v>180</v>
      </c>
      <c r="L237" s="118">
        <v>167</v>
      </c>
      <c r="M237" s="124"/>
      <c r="N237" s="105"/>
      <c r="O237" s="119"/>
      <c r="P237" s="151"/>
      <c r="Q237" s="152"/>
      <c r="R237" s="162" t="s">
        <v>286</v>
      </c>
    </row>
    <row r="238" spans="1:19" ht="10.5" customHeight="1">
      <c r="A238" s="410"/>
      <c r="B238" s="412"/>
      <c r="C238" s="347"/>
      <c r="D238" s="337"/>
      <c r="E238" s="331"/>
      <c r="F238" s="82" t="s">
        <v>442</v>
      </c>
      <c r="G238" s="341"/>
      <c r="H238" s="344"/>
      <c r="I238" s="331"/>
      <c r="J238" s="118">
        <v>235</v>
      </c>
      <c r="K238" s="103">
        <v>260</v>
      </c>
      <c r="L238" s="118">
        <v>232</v>
      </c>
      <c r="M238" s="124"/>
      <c r="N238" s="105"/>
      <c r="O238" s="119"/>
      <c r="P238" s="151"/>
      <c r="Q238" s="152"/>
      <c r="R238" s="162" t="s">
        <v>447</v>
      </c>
    </row>
    <row r="239" spans="1:19" ht="10.5" customHeight="1">
      <c r="A239" s="410"/>
      <c r="B239" s="412"/>
      <c r="C239" s="347"/>
      <c r="D239" s="337"/>
      <c r="E239" s="331"/>
      <c r="F239" s="82" t="s">
        <v>444</v>
      </c>
      <c r="G239" s="341"/>
      <c r="H239" s="344"/>
      <c r="I239" s="331"/>
      <c r="J239" s="118">
        <v>235</v>
      </c>
      <c r="K239" s="103">
        <v>255</v>
      </c>
      <c r="L239" s="118">
        <v>232</v>
      </c>
      <c r="M239" s="124"/>
      <c r="N239" s="105"/>
      <c r="O239" s="119"/>
      <c r="P239" s="151"/>
      <c r="Q239" s="152"/>
      <c r="R239" s="162" t="s">
        <v>289</v>
      </c>
    </row>
    <row r="240" spans="1:19" ht="10.5" customHeight="1">
      <c r="A240" s="410"/>
      <c r="B240" s="412"/>
      <c r="C240" s="347"/>
      <c r="D240" s="337"/>
      <c r="E240" s="331"/>
      <c r="F240" s="82" t="s">
        <v>445</v>
      </c>
      <c r="G240" s="341"/>
      <c r="H240" s="344"/>
      <c r="I240" s="331"/>
      <c r="J240" s="118">
        <v>235</v>
      </c>
      <c r="K240" s="103">
        <v>254</v>
      </c>
      <c r="L240" s="118">
        <v>232</v>
      </c>
      <c r="M240" s="124"/>
      <c r="N240" s="105"/>
      <c r="O240" s="119"/>
      <c r="P240" s="151"/>
      <c r="Q240" s="152"/>
      <c r="R240" s="162" t="s">
        <v>443</v>
      </c>
    </row>
    <row r="241" spans="1:18" ht="10.5" customHeight="1">
      <c r="A241" s="410"/>
      <c r="B241" s="412"/>
      <c r="C241" s="347"/>
      <c r="D241" s="337"/>
      <c r="E241" s="331"/>
      <c r="F241" s="311" t="s">
        <v>446</v>
      </c>
      <c r="G241" s="341"/>
      <c r="H241" s="344"/>
      <c r="I241" s="331"/>
      <c r="J241" s="312">
        <v>215</v>
      </c>
      <c r="K241" s="313">
        <v>238</v>
      </c>
      <c r="L241" s="312">
        <v>212</v>
      </c>
      <c r="M241" s="314"/>
      <c r="N241" s="315"/>
      <c r="O241" s="316"/>
      <c r="P241" s="317"/>
      <c r="Q241" s="318"/>
      <c r="R241" s="319" t="s">
        <v>290</v>
      </c>
    </row>
    <row r="242" spans="1:18" ht="10.5" customHeight="1">
      <c r="A242" s="410"/>
      <c r="B242" s="412"/>
      <c r="C242" s="346">
        <v>1</v>
      </c>
      <c r="D242" s="336">
        <v>209</v>
      </c>
      <c r="E242" s="330" t="s">
        <v>448</v>
      </c>
      <c r="F242" s="69" t="s">
        <v>450</v>
      </c>
      <c r="G242" s="340">
        <v>0</v>
      </c>
      <c r="H242" s="343">
        <v>400</v>
      </c>
      <c r="I242" s="330" t="s">
        <v>61</v>
      </c>
      <c r="J242" s="61">
        <v>175</v>
      </c>
      <c r="K242" s="70">
        <v>190</v>
      </c>
      <c r="L242" s="61">
        <v>172</v>
      </c>
      <c r="M242" s="110"/>
      <c r="N242" s="107"/>
      <c r="O242" s="122"/>
      <c r="P242" s="154"/>
      <c r="Q242" s="155"/>
      <c r="R242" s="163" t="s">
        <v>285</v>
      </c>
    </row>
    <row r="243" spans="1:18" ht="10.5" customHeight="1">
      <c r="A243" s="410"/>
      <c r="B243" s="412"/>
      <c r="C243" s="347"/>
      <c r="D243" s="337"/>
      <c r="E243" s="331"/>
      <c r="F243" s="82" t="s">
        <v>449</v>
      </c>
      <c r="G243" s="341"/>
      <c r="H243" s="344"/>
      <c r="I243" s="331"/>
      <c r="J243" s="118">
        <v>170</v>
      </c>
      <c r="K243" s="103">
        <v>200</v>
      </c>
      <c r="L243" s="118">
        <v>167</v>
      </c>
      <c r="M243" s="124"/>
      <c r="N243" s="105"/>
      <c r="O243" s="119"/>
      <c r="P243" s="151"/>
      <c r="Q243" s="152"/>
      <c r="R243" s="162" t="s">
        <v>286</v>
      </c>
    </row>
    <row r="244" spans="1:18" ht="10.5" customHeight="1">
      <c r="A244" s="410"/>
      <c r="B244" s="412"/>
      <c r="C244" s="347"/>
      <c r="D244" s="337"/>
      <c r="E244" s="331"/>
      <c r="F244" s="82" t="s">
        <v>442</v>
      </c>
      <c r="G244" s="341"/>
      <c r="H244" s="344"/>
      <c r="I244" s="331"/>
      <c r="J244" s="118">
        <v>240</v>
      </c>
      <c r="K244" s="103">
        <v>262</v>
      </c>
      <c r="L244" s="118">
        <v>237</v>
      </c>
      <c r="M244" s="124"/>
      <c r="N244" s="105"/>
      <c r="O244" s="119"/>
      <c r="P244" s="151"/>
      <c r="Q244" s="152"/>
      <c r="R244" s="162" t="s">
        <v>447</v>
      </c>
    </row>
    <row r="245" spans="1:18" ht="10.5" customHeight="1">
      <c r="A245" s="410"/>
      <c r="B245" s="412"/>
      <c r="C245" s="347"/>
      <c r="D245" s="337"/>
      <c r="E245" s="331"/>
      <c r="F245" s="82" t="s">
        <v>444</v>
      </c>
      <c r="G245" s="341"/>
      <c r="H245" s="344"/>
      <c r="I245" s="331"/>
      <c r="J245" s="118">
        <v>240</v>
      </c>
      <c r="K245" s="103">
        <v>260</v>
      </c>
      <c r="L245" s="118">
        <v>235</v>
      </c>
      <c r="M245" s="124"/>
      <c r="N245" s="105"/>
      <c r="O245" s="119"/>
      <c r="P245" s="151"/>
      <c r="Q245" s="152"/>
      <c r="R245" s="162" t="s">
        <v>289</v>
      </c>
    </row>
    <row r="246" spans="1:18" ht="10.5" customHeight="1">
      <c r="A246" s="410"/>
      <c r="B246" s="412"/>
      <c r="C246" s="347"/>
      <c r="D246" s="337"/>
      <c r="E246" s="331"/>
      <c r="F246" s="82" t="s">
        <v>445</v>
      </c>
      <c r="G246" s="341"/>
      <c r="H246" s="344"/>
      <c r="I246" s="331"/>
      <c r="J246" s="118">
        <v>235</v>
      </c>
      <c r="K246" s="103">
        <v>254</v>
      </c>
      <c r="L246" s="118">
        <v>232</v>
      </c>
      <c r="M246" s="124"/>
      <c r="N246" s="105"/>
      <c r="O246" s="119"/>
      <c r="P246" s="151"/>
      <c r="Q246" s="152"/>
      <c r="R246" s="162" t="s">
        <v>443</v>
      </c>
    </row>
    <row r="247" spans="1:18" ht="10.5" customHeight="1">
      <c r="A247" s="410"/>
      <c r="B247" s="412"/>
      <c r="C247" s="348"/>
      <c r="D247" s="349"/>
      <c r="E247" s="332"/>
      <c r="F247" s="82" t="s">
        <v>446</v>
      </c>
      <c r="G247" s="350"/>
      <c r="H247" s="351"/>
      <c r="I247" s="332"/>
      <c r="J247" s="118">
        <v>220</v>
      </c>
      <c r="K247" s="103">
        <v>247</v>
      </c>
      <c r="L247" s="118">
        <v>217</v>
      </c>
      <c r="M247" s="124"/>
      <c r="N247" s="105"/>
      <c r="O247" s="119"/>
      <c r="P247" s="151"/>
      <c r="Q247" s="152"/>
      <c r="R247" s="162" t="s">
        <v>290</v>
      </c>
    </row>
    <row r="248" spans="1:18" ht="10.5" customHeight="1">
      <c r="A248" s="410"/>
      <c r="B248" s="412"/>
      <c r="C248" s="346">
        <v>2</v>
      </c>
      <c r="D248" s="336">
        <v>210</v>
      </c>
      <c r="E248" s="330" t="s">
        <v>451</v>
      </c>
      <c r="F248" s="69" t="s">
        <v>452</v>
      </c>
      <c r="G248" s="340">
        <v>0</v>
      </c>
      <c r="H248" s="343">
        <v>400</v>
      </c>
      <c r="I248" s="330" t="s">
        <v>61</v>
      </c>
      <c r="J248" s="61"/>
      <c r="K248" s="70"/>
      <c r="L248" s="61">
        <v>240</v>
      </c>
      <c r="M248" s="110"/>
      <c r="N248" s="107"/>
      <c r="O248" s="122"/>
      <c r="P248" s="154"/>
      <c r="Q248" s="155"/>
      <c r="R248" s="163" t="s">
        <v>285</v>
      </c>
    </row>
    <row r="249" spans="1:18" ht="10.5" customHeight="1">
      <c r="A249" s="410"/>
      <c r="B249" s="412"/>
      <c r="C249" s="347"/>
      <c r="D249" s="337"/>
      <c r="E249" s="331"/>
      <c r="F249" s="82" t="s">
        <v>449</v>
      </c>
      <c r="G249" s="341"/>
      <c r="H249" s="344"/>
      <c r="I249" s="331"/>
      <c r="J249" s="118"/>
      <c r="K249" s="103"/>
      <c r="L249" s="118">
        <v>225</v>
      </c>
      <c r="M249" s="124"/>
      <c r="N249" s="105"/>
      <c r="O249" s="119"/>
      <c r="P249" s="151"/>
      <c r="Q249" s="152"/>
      <c r="R249" s="162" t="s">
        <v>286</v>
      </c>
    </row>
    <row r="250" spans="1:18" ht="10.5" customHeight="1">
      <c r="A250" s="410"/>
      <c r="B250" s="412"/>
      <c r="C250" s="347"/>
      <c r="D250" s="337"/>
      <c r="E250" s="331"/>
      <c r="F250" s="82" t="s">
        <v>442</v>
      </c>
      <c r="G250" s="341"/>
      <c r="H250" s="344"/>
      <c r="I250" s="331"/>
      <c r="J250" s="118"/>
      <c r="K250" s="103"/>
      <c r="L250" s="118">
        <v>225</v>
      </c>
      <c r="M250" s="124"/>
      <c r="N250" s="105"/>
      <c r="O250" s="119"/>
      <c r="P250" s="151"/>
      <c r="Q250" s="152"/>
      <c r="R250" s="162" t="s">
        <v>447</v>
      </c>
    </row>
    <row r="251" spans="1:18" ht="10.5" customHeight="1">
      <c r="A251" s="410"/>
      <c r="B251" s="412"/>
      <c r="C251" s="347"/>
      <c r="D251" s="337"/>
      <c r="E251" s="331"/>
      <c r="F251" s="82" t="s">
        <v>444</v>
      </c>
      <c r="G251" s="341"/>
      <c r="H251" s="344"/>
      <c r="I251" s="331"/>
      <c r="J251" s="118"/>
      <c r="K251" s="103"/>
      <c r="L251" s="118">
        <v>225</v>
      </c>
      <c r="M251" s="124"/>
      <c r="N251" s="105"/>
      <c r="O251" s="119"/>
      <c r="P251" s="151"/>
      <c r="Q251" s="152"/>
      <c r="R251" s="162" t="s">
        <v>289</v>
      </c>
    </row>
    <row r="252" spans="1:18" ht="10.5" customHeight="1">
      <c r="A252" s="410"/>
      <c r="B252" s="412"/>
      <c r="C252" s="347"/>
      <c r="D252" s="337"/>
      <c r="E252" s="331"/>
      <c r="F252" s="82" t="s">
        <v>445</v>
      </c>
      <c r="G252" s="341"/>
      <c r="H252" s="344"/>
      <c r="I252" s="331"/>
      <c r="J252" s="118"/>
      <c r="K252" s="103"/>
      <c r="L252" s="118">
        <v>225</v>
      </c>
      <c r="M252" s="124"/>
      <c r="N252" s="105"/>
      <c r="O252" s="119"/>
      <c r="P252" s="151"/>
      <c r="Q252" s="152"/>
      <c r="R252" s="162" t="s">
        <v>443</v>
      </c>
    </row>
    <row r="253" spans="1:18" ht="10.5" customHeight="1">
      <c r="A253" s="410"/>
      <c r="B253" s="412"/>
      <c r="C253" s="348"/>
      <c r="D253" s="349"/>
      <c r="E253" s="332"/>
      <c r="F253" s="82" t="s">
        <v>446</v>
      </c>
      <c r="G253" s="350"/>
      <c r="H253" s="351"/>
      <c r="I253" s="332"/>
      <c r="J253" s="118"/>
      <c r="K253" s="103"/>
      <c r="L253" s="118"/>
      <c r="M253" s="124"/>
      <c r="N253" s="105"/>
      <c r="O253" s="119"/>
      <c r="P253" s="151"/>
      <c r="Q253" s="152"/>
      <c r="R253" s="162" t="s">
        <v>290</v>
      </c>
    </row>
    <row r="254" spans="1:18" ht="10.5" customHeight="1">
      <c r="A254" s="410"/>
      <c r="B254" s="412"/>
      <c r="C254" s="346">
        <v>3</v>
      </c>
      <c r="D254" s="336">
        <v>211</v>
      </c>
      <c r="E254" s="330" t="s">
        <v>453</v>
      </c>
      <c r="F254" s="69" t="s">
        <v>454</v>
      </c>
      <c r="G254" s="340">
        <v>0</v>
      </c>
      <c r="H254" s="343">
        <v>400</v>
      </c>
      <c r="I254" s="330" t="s">
        <v>61</v>
      </c>
      <c r="J254" s="61">
        <v>255</v>
      </c>
      <c r="K254" s="70">
        <v>270</v>
      </c>
      <c r="L254" s="61">
        <v>252</v>
      </c>
      <c r="M254" s="110"/>
      <c r="N254" s="107"/>
      <c r="O254" s="122"/>
      <c r="P254" s="154"/>
      <c r="Q254" s="155"/>
      <c r="R254" s="163" t="s">
        <v>285</v>
      </c>
    </row>
    <row r="255" spans="1:18" ht="10.5" customHeight="1">
      <c r="A255" s="410"/>
      <c r="B255" s="412"/>
      <c r="C255" s="347"/>
      <c r="D255" s="337"/>
      <c r="E255" s="331"/>
      <c r="F255" s="82" t="s">
        <v>441</v>
      </c>
      <c r="G255" s="341"/>
      <c r="H255" s="344"/>
      <c r="I255" s="331"/>
      <c r="J255" s="310">
        <v>245</v>
      </c>
      <c r="K255" s="103">
        <v>255</v>
      </c>
      <c r="L255" s="310">
        <v>242</v>
      </c>
      <c r="M255" s="124"/>
      <c r="N255" s="105"/>
      <c r="O255" s="119"/>
      <c r="P255" s="151"/>
      <c r="Q255" s="152"/>
      <c r="R255" s="162" t="s">
        <v>286</v>
      </c>
    </row>
    <row r="256" spans="1:18" ht="10.5" customHeight="1">
      <c r="A256" s="410"/>
      <c r="B256" s="412"/>
      <c r="C256" s="347"/>
      <c r="D256" s="337"/>
      <c r="E256" s="331"/>
      <c r="F256" s="82" t="s">
        <v>442</v>
      </c>
      <c r="G256" s="341"/>
      <c r="H256" s="344"/>
      <c r="I256" s="331"/>
      <c r="J256" s="310">
        <v>240</v>
      </c>
      <c r="K256" s="103">
        <v>262</v>
      </c>
      <c r="L256" s="310">
        <v>237</v>
      </c>
      <c r="M256" s="124"/>
      <c r="N256" s="105"/>
      <c r="O256" s="119"/>
      <c r="P256" s="151"/>
      <c r="Q256" s="152"/>
      <c r="R256" s="162" t="s">
        <v>447</v>
      </c>
    </row>
    <row r="257" spans="1:18" ht="10.5" customHeight="1">
      <c r="A257" s="410"/>
      <c r="B257" s="412"/>
      <c r="C257" s="347"/>
      <c r="D257" s="337"/>
      <c r="E257" s="331"/>
      <c r="F257" s="82" t="s">
        <v>444</v>
      </c>
      <c r="G257" s="341"/>
      <c r="H257" s="344"/>
      <c r="I257" s="331"/>
      <c r="J257" s="310">
        <v>240</v>
      </c>
      <c r="K257" s="103">
        <v>260</v>
      </c>
      <c r="L257" s="310">
        <v>230</v>
      </c>
      <c r="M257" s="124"/>
      <c r="N257" s="105"/>
      <c r="O257" s="119"/>
      <c r="P257" s="151"/>
      <c r="Q257" s="152"/>
      <c r="R257" s="162" t="s">
        <v>289</v>
      </c>
    </row>
    <row r="258" spans="1:18" ht="10.5" customHeight="1">
      <c r="A258" s="410"/>
      <c r="B258" s="412"/>
      <c r="C258" s="347"/>
      <c r="D258" s="337"/>
      <c r="E258" s="331"/>
      <c r="F258" s="82" t="s">
        <v>445</v>
      </c>
      <c r="G258" s="341"/>
      <c r="H258" s="344"/>
      <c r="I258" s="331"/>
      <c r="J258" s="310">
        <v>245</v>
      </c>
      <c r="K258" s="103">
        <v>260</v>
      </c>
      <c r="L258" s="310">
        <v>232</v>
      </c>
      <c r="M258" s="124"/>
      <c r="N258" s="105"/>
      <c r="O258" s="119"/>
      <c r="P258" s="151"/>
      <c r="Q258" s="152"/>
      <c r="R258" s="162" t="s">
        <v>443</v>
      </c>
    </row>
    <row r="259" spans="1:18" ht="10.5" customHeight="1">
      <c r="A259" s="410"/>
      <c r="B259" s="412"/>
      <c r="C259" s="347"/>
      <c r="D259" s="337"/>
      <c r="E259" s="331"/>
      <c r="F259" s="311" t="s">
        <v>446</v>
      </c>
      <c r="G259" s="341"/>
      <c r="H259" s="344"/>
      <c r="I259" s="331"/>
      <c r="J259" s="312">
        <v>254</v>
      </c>
      <c r="K259" s="313">
        <v>265</v>
      </c>
      <c r="L259" s="312">
        <v>248</v>
      </c>
      <c r="M259" s="314"/>
      <c r="N259" s="315"/>
      <c r="O259" s="316"/>
      <c r="P259" s="317"/>
      <c r="Q259" s="318"/>
      <c r="R259" s="319" t="s">
        <v>290</v>
      </c>
    </row>
    <row r="260" spans="1:18" ht="10.5" customHeight="1">
      <c r="A260" s="410"/>
      <c r="B260" s="412"/>
      <c r="C260" s="346">
        <v>4</v>
      </c>
      <c r="D260" s="336">
        <v>212</v>
      </c>
      <c r="E260" s="330" t="s">
        <v>455</v>
      </c>
      <c r="F260" s="69" t="s">
        <v>440</v>
      </c>
      <c r="G260" s="340">
        <v>0</v>
      </c>
      <c r="H260" s="343">
        <v>400</v>
      </c>
      <c r="I260" s="330" t="s">
        <v>61</v>
      </c>
      <c r="J260" s="61">
        <v>175</v>
      </c>
      <c r="K260" s="70">
        <v>190</v>
      </c>
      <c r="L260" s="61">
        <v>172</v>
      </c>
      <c r="M260" s="110"/>
      <c r="N260" s="107"/>
      <c r="O260" s="122"/>
      <c r="P260" s="154"/>
      <c r="Q260" s="155"/>
      <c r="R260" s="163" t="s">
        <v>285</v>
      </c>
    </row>
    <row r="261" spans="1:18" ht="10.5" customHeight="1">
      <c r="A261" s="410"/>
      <c r="B261" s="412"/>
      <c r="C261" s="347"/>
      <c r="D261" s="337"/>
      <c r="E261" s="331"/>
      <c r="F261" s="82" t="s">
        <v>459</v>
      </c>
      <c r="G261" s="341"/>
      <c r="H261" s="344"/>
      <c r="I261" s="331"/>
      <c r="J261" s="310">
        <v>170</v>
      </c>
      <c r="K261" s="103">
        <v>180</v>
      </c>
      <c r="L261" s="310">
        <v>167</v>
      </c>
      <c r="M261" s="124"/>
      <c r="N261" s="105"/>
      <c r="O261" s="119"/>
      <c r="P261" s="151"/>
      <c r="Q261" s="152"/>
      <c r="R261" s="162" t="s">
        <v>286</v>
      </c>
    </row>
    <row r="262" spans="1:18" ht="10.5" customHeight="1">
      <c r="A262" s="410"/>
      <c r="B262" s="412"/>
      <c r="C262" s="347"/>
      <c r="D262" s="337"/>
      <c r="E262" s="331"/>
      <c r="F262" s="82" t="s">
        <v>442</v>
      </c>
      <c r="G262" s="341"/>
      <c r="H262" s="344"/>
      <c r="I262" s="331"/>
      <c r="J262" s="310">
        <v>235</v>
      </c>
      <c r="K262" s="103">
        <v>260</v>
      </c>
      <c r="L262" s="310">
        <v>232</v>
      </c>
      <c r="M262" s="124"/>
      <c r="N262" s="105"/>
      <c r="O262" s="119"/>
      <c r="P262" s="151"/>
      <c r="Q262" s="152"/>
      <c r="R262" s="162" t="s">
        <v>447</v>
      </c>
    </row>
    <row r="263" spans="1:18" ht="10.5" customHeight="1">
      <c r="A263" s="410"/>
      <c r="B263" s="412"/>
      <c r="C263" s="347"/>
      <c r="D263" s="337"/>
      <c r="E263" s="331"/>
      <c r="F263" s="82" t="s">
        <v>444</v>
      </c>
      <c r="G263" s="341"/>
      <c r="H263" s="344"/>
      <c r="I263" s="331"/>
      <c r="J263" s="310">
        <v>235</v>
      </c>
      <c r="K263" s="103">
        <v>255</v>
      </c>
      <c r="L263" s="310">
        <v>232</v>
      </c>
      <c r="M263" s="124"/>
      <c r="N263" s="105"/>
      <c r="O263" s="119"/>
      <c r="P263" s="151"/>
      <c r="Q263" s="152"/>
      <c r="R263" s="162" t="s">
        <v>289</v>
      </c>
    </row>
    <row r="264" spans="1:18" ht="10.5" customHeight="1">
      <c r="A264" s="410"/>
      <c r="B264" s="412"/>
      <c r="C264" s="347"/>
      <c r="D264" s="337"/>
      <c r="E264" s="331"/>
      <c r="F264" s="82" t="s">
        <v>445</v>
      </c>
      <c r="G264" s="341"/>
      <c r="H264" s="344"/>
      <c r="I264" s="331"/>
      <c r="J264" s="310">
        <v>235</v>
      </c>
      <c r="K264" s="103">
        <v>254</v>
      </c>
      <c r="L264" s="310">
        <v>232</v>
      </c>
      <c r="M264" s="124"/>
      <c r="N264" s="105"/>
      <c r="O264" s="119"/>
      <c r="P264" s="151"/>
      <c r="Q264" s="152"/>
      <c r="R264" s="162" t="s">
        <v>443</v>
      </c>
    </row>
    <row r="265" spans="1:18" ht="10.5" customHeight="1">
      <c r="A265" s="410"/>
      <c r="B265" s="412"/>
      <c r="C265" s="348"/>
      <c r="D265" s="349"/>
      <c r="E265" s="332"/>
      <c r="F265" s="82" t="s">
        <v>446</v>
      </c>
      <c r="G265" s="350"/>
      <c r="H265" s="351"/>
      <c r="I265" s="332"/>
      <c r="J265" s="310">
        <v>215</v>
      </c>
      <c r="K265" s="103">
        <v>238</v>
      </c>
      <c r="L265" s="310">
        <v>212</v>
      </c>
      <c r="M265" s="124"/>
      <c r="N265" s="105"/>
      <c r="O265" s="119"/>
      <c r="P265" s="151"/>
      <c r="Q265" s="152"/>
      <c r="R265" s="162" t="s">
        <v>290</v>
      </c>
    </row>
    <row r="266" spans="1:18" ht="10.5" customHeight="1">
      <c r="A266" s="410"/>
      <c r="B266" s="412"/>
      <c r="C266" s="346">
        <v>5</v>
      </c>
      <c r="D266" s="336">
        <v>213</v>
      </c>
      <c r="E266" s="330" t="s">
        <v>456</v>
      </c>
      <c r="F266" s="69" t="s">
        <v>450</v>
      </c>
      <c r="G266" s="340">
        <v>0</v>
      </c>
      <c r="H266" s="343">
        <v>400</v>
      </c>
      <c r="I266" s="330" t="s">
        <v>61</v>
      </c>
      <c r="J266" s="61">
        <v>175</v>
      </c>
      <c r="K266" s="70">
        <v>190</v>
      </c>
      <c r="L266" s="61">
        <v>172</v>
      </c>
      <c r="M266" s="110"/>
      <c r="N266" s="107"/>
      <c r="O266" s="122"/>
      <c r="P266" s="154"/>
      <c r="Q266" s="155"/>
      <c r="R266" s="163" t="s">
        <v>285</v>
      </c>
    </row>
    <row r="267" spans="1:18" ht="10.5" customHeight="1">
      <c r="A267" s="410"/>
      <c r="B267" s="412"/>
      <c r="C267" s="347"/>
      <c r="D267" s="337"/>
      <c r="E267" s="331"/>
      <c r="F267" s="82" t="s">
        <v>460</v>
      </c>
      <c r="G267" s="341"/>
      <c r="H267" s="344"/>
      <c r="I267" s="331"/>
      <c r="J267" s="310">
        <v>170</v>
      </c>
      <c r="K267" s="103">
        <v>200</v>
      </c>
      <c r="L267" s="310">
        <v>167</v>
      </c>
      <c r="M267" s="124"/>
      <c r="N267" s="105"/>
      <c r="O267" s="119"/>
      <c r="P267" s="151"/>
      <c r="Q267" s="152"/>
      <c r="R267" s="162" t="s">
        <v>286</v>
      </c>
    </row>
    <row r="268" spans="1:18" ht="10.5" customHeight="1">
      <c r="A268" s="410"/>
      <c r="B268" s="412"/>
      <c r="C268" s="347"/>
      <c r="D268" s="337"/>
      <c r="E268" s="331"/>
      <c r="F268" s="82" t="s">
        <v>442</v>
      </c>
      <c r="G268" s="341"/>
      <c r="H268" s="344"/>
      <c r="I268" s="331"/>
      <c r="J268" s="310">
        <v>240</v>
      </c>
      <c r="K268" s="103">
        <v>262</v>
      </c>
      <c r="L268" s="310">
        <v>237</v>
      </c>
      <c r="M268" s="124"/>
      <c r="N268" s="105"/>
      <c r="O268" s="119"/>
      <c r="P268" s="151"/>
      <c r="Q268" s="152"/>
      <c r="R268" s="162" t="s">
        <v>447</v>
      </c>
    </row>
    <row r="269" spans="1:18" ht="10.5" customHeight="1">
      <c r="A269" s="410"/>
      <c r="B269" s="412"/>
      <c r="C269" s="347"/>
      <c r="D269" s="337"/>
      <c r="E269" s="331"/>
      <c r="F269" s="82" t="s">
        <v>444</v>
      </c>
      <c r="G269" s="341"/>
      <c r="H269" s="344"/>
      <c r="I269" s="331"/>
      <c r="J269" s="310">
        <v>240</v>
      </c>
      <c r="K269" s="103">
        <v>260</v>
      </c>
      <c r="L269" s="310">
        <v>235</v>
      </c>
      <c r="M269" s="124"/>
      <c r="N269" s="105"/>
      <c r="O269" s="119"/>
      <c r="P269" s="151"/>
      <c r="Q269" s="152"/>
      <c r="R269" s="162" t="s">
        <v>289</v>
      </c>
    </row>
    <row r="270" spans="1:18" ht="10.5" customHeight="1">
      <c r="A270" s="410"/>
      <c r="B270" s="412"/>
      <c r="C270" s="347"/>
      <c r="D270" s="337"/>
      <c r="E270" s="331"/>
      <c r="F270" s="82" t="s">
        <v>445</v>
      </c>
      <c r="G270" s="341"/>
      <c r="H270" s="344"/>
      <c r="I270" s="331"/>
      <c r="J270" s="310">
        <v>235</v>
      </c>
      <c r="K270" s="103">
        <v>254</v>
      </c>
      <c r="L270" s="310">
        <v>232</v>
      </c>
      <c r="M270" s="124"/>
      <c r="N270" s="105"/>
      <c r="O270" s="119"/>
      <c r="P270" s="151"/>
      <c r="Q270" s="152"/>
      <c r="R270" s="162" t="s">
        <v>443</v>
      </c>
    </row>
    <row r="271" spans="1:18" ht="10.5" customHeight="1">
      <c r="A271" s="410"/>
      <c r="B271" s="412"/>
      <c r="C271" s="348"/>
      <c r="D271" s="349"/>
      <c r="E271" s="332"/>
      <c r="F271" s="82" t="s">
        <v>446</v>
      </c>
      <c r="G271" s="350"/>
      <c r="H271" s="351"/>
      <c r="I271" s="332"/>
      <c r="J271" s="310">
        <v>220</v>
      </c>
      <c r="K271" s="103">
        <v>247</v>
      </c>
      <c r="L271" s="310">
        <v>217</v>
      </c>
      <c r="M271" s="124"/>
      <c r="N271" s="105"/>
      <c r="O271" s="119"/>
      <c r="P271" s="151"/>
      <c r="Q271" s="152"/>
      <c r="R271" s="162" t="s">
        <v>290</v>
      </c>
    </row>
    <row r="272" spans="1:18" ht="10.5" customHeight="1">
      <c r="A272" s="410"/>
      <c r="B272" s="412"/>
      <c r="C272" s="346">
        <v>6</v>
      </c>
      <c r="D272" s="336">
        <v>214</v>
      </c>
      <c r="E272" s="330" t="s">
        <v>457</v>
      </c>
      <c r="F272" s="69" t="s">
        <v>452</v>
      </c>
      <c r="G272" s="340">
        <v>0</v>
      </c>
      <c r="H272" s="343">
        <v>400</v>
      </c>
      <c r="I272" s="330" t="s">
        <v>61</v>
      </c>
      <c r="J272" s="61"/>
      <c r="K272" s="70"/>
      <c r="L272" s="61">
        <v>240</v>
      </c>
      <c r="M272" s="110"/>
      <c r="N272" s="107"/>
      <c r="O272" s="122"/>
      <c r="P272" s="154"/>
      <c r="Q272" s="155"/>
      <c r="R272" s="163" t="s">
        <v>285</v>
      </c>
    </row>
    <row r="273" spans="1:18" ht="10.5" customHeight="1">
      <c r="A273" s="410"/>
      <c r="B273" s="412"/>
      <c r="C273" s="347"/>
      <c r="D273" s="337"/>
      <c r="E273" s="331"/>
      <c r="F273" s="82" t="s">
        <v>460</v>
      </c>
      <c r="G273" s="341"/>
      <c r="H273" s="344"/>
      <c r="I273" s="331"/>
      <c r="J273" s="310"/>
      <c r="K273" s="103"/>
      <c r="L273" s="310">
        <v>225</v>
      </c>
      <c r="M273" s="124"/>
      <c r="N273" s="105"/>
      <c r="O273" s="119"/>
      <c r="P273" s="151"/>
      <c r="Q273" s="152"/>
      <c r="R273" s="162" t="s">
        <v>286</v>
      </c>
    </row>
    <row r="274" spans="1:18" ht="10.5" customHeight="1">
      <c r="A274" s="410"/>
      <c r="B274" s="412"/>
      <c r="C274" s="347"/>
      <c r="D274" s="337"/>
      <c r="E274" s="331"/>
      <c r="F274" s="82" t="s">
        <v>442</v>
      </c>
      <c r="G274" s="341"/>
      <c r="H274" s="344"/>
      <c r="I274" s="331"/>
      <c r="J274" s="310"/>
      <c r="K274" s="103"/>
      <c r="L274" s="310">
        <v>225</v>
      </c>
      <c r="M274" s="124"/>
      <c r="N274" s="105"/>
      <c r="O274" s="119"/>
      <c r="P274" s="151"/>
      <c r="Q274" s="152"/>
      <c r="R274" s="162" t="s">
        <v>447</v>
      </c>
    </row>
    <row r="275" spans="1:18" ht="10.5" customHeight="1">
      <c r="A275" s="410"/>
      <c r="B275" s="412"/>
      <c r="C275" s="347"/>
      <c r="D275" s="337"/>
      <c r="E275" s="331"/>
      <c r="F275" s="82" t="s">
        <v>444</v>
      </c>
      <c r="G275" s="341"/>
      <c r="H275" s="344"/>
      <c r="I275" s="331"/>
      <c r="J275" s="310"/>
      <c r="K275" s="103"/>
      <c r="L275" s="310">
        <v>225</v>
      </c>
      <c r="M275" s="124"/>
      <c r="N275" s="105"/>
      <c r="O275" s="119"/>
      <c r="P275" s="151"/>
      <c r="Q275" s="152"/>
      <c r="R275" s="162" t="s">
        <v>289</v>
      </c>
    </row>
    <row r="276" spans="1:18" ht="10.5" customHeight="1">
      <c r="A276" s="410"/>
      <c r="B276" s="412"/>
      <c r="C276" s="347"/>
      <c r="D276" s="337"/>
      <c r="E276" s="331"/>
      <c r="F276" s="82" t="s">
        <v>445</v>
      </c>
      <c r="G276" s="341"/>
      <c r="H276" s="344"/>
      <c r="I276" s="331"/>
      <c r="J276" s="310"/>
      <c r="K276" s="103"/>
      <c r="L276" s="310">
        <v>225</v>
      </c>
      <c r="M276" s="124"/>
      <c r="N276" s="105"/>
      <c r="O276" s="119"/>
      <c r="P276" s="151"/>
      <c r="Q276" s="152"/>
      <c r="R276" s="162" t="s">
        <v>443</v>
      </c>
    </row>
    <row r="277" spans="1:18" ht="10.5" customHeight="1">
      <c r="A277" s="410"/>
      <c r="B277" s="412"/>
      <c r="C277" s="348"/>
      <c r="D277" s="349"/>
      <c r="E277" s="332"/>
      <c r="F277" s="82" t="s">
        <v>446</v>
      </c>
      <c r="G277" s="350"/>
      <c r="H277" s="351"/>
      <c r="I277" s="332"/>
      <c r="J277" s="310"/>
      <c r="K277" s="103"/>
      <c r="L277" s="310"/>
      <c r="M277" s="124"/>
      <c r="N277" s="105"/>
      <c r="O277" s="119"/>
      <c r="P277" s="151"/>
      <c r="Q277" s="152"/>
      <c r="R277" s="162" t="s">
        <v>290</v>
      </c>
    </row>
    <row r="278" spans="1:18" ht="10.5" customHeight="1">
      <c r="A278" s="410"/>
      <c r="B278" s="412"/>
      <c r="C278" s="346">
        <v>7</v>
      </c>
      <c r="D278" s="336">
        <v>215</v>
      </c>
      <c r="E278" s="330" t="s">
        <v>458</v>
      </c>
      <c r="F278" s="69" t="s">
        <v>454</v>
      </c>
      <c r="G278" s="340">
        <v>0</v>
      </c>
      <c r="H278" s="343">
        <v>400</v>
      </c>
      <c r="I278" s="330" t="s">
        <v>61</v>
      </c>
      <c r="J278" s="61">
        <v>255</v>
      </c>
      <c r="K278" s="70">
        <v>270</v>
      </c>
      <c r="L278" s="61">
        <v>252</v>
      </c>
      <c r="M278" s="110"/>
      <c r="N278" s="107"/>
      <c r="O278" s="122"/>
      <c r="P278" s="154"/>
      <c r="Q278" s="155"/>
      <c r="R278" s="163" t="s">
        <v>285</v>
      </c>
    </row>
    <row r="279" spans="1:18" ht="10.5" customHeight="1">
      <c r="A279" s="410"/>
      <c r="B279" s="412"/>
      <c r="C279" s="347"/>
      <c r="D279" s="337"/>
      <c r="E279" s="331"/>
      <c r="F279" s="82" t="s">
        <v>459</v>
      </c>
      <c r="G279" s="341"/>
      <c r="H279" s="344"/>
      <c r="I279" s="331"/>
      <c r="J279" s="310">
        <v>245</v>
      </c>
      <c r="K279" s="103">
        <v>255</v>
      </c>
      <c r="L279" s="310">
        <v>242</v>
      </c>
      <c r="M279" s="124"/>
      <c r="N279" s="105"/>
      <c r="O279" s="119"/>
      <c r="P279" s="151"/>
      <c r="Q279" s="152"/>
      <c r="R279" s="162" t="s">
        <v>286</v>
      </c>
    </row>
    <row r="280" spans="1:18" ht="10.5" customHeight="1">
      <c r="A280" s="410"/>
      <c r="B280" s="412"/>
      <c r="C280" s="347"/>
      <c r="D280" s="337"/>
      <c r="E280" s="331"/>
      <c r="F280" s="82" t="s">
        <v>442</v>
      </c>
      <c r="G280" s="341"/>
      <c r="H280" s="344"/>
      <c r="I280" s="331"/>
      <c r="J280" s="310">
        <v>240</v>
      </c>
      <c r="K280" s="103">
        <v>262</v>
      </c>
      <c r="L280" s="310">
        <v>237</v>
      </c>
      <c r="M280" s="124"/>
      <c r="N280" s="105"/>
      <c r="O280" s="119"/>
      <c r="P280" s="151"/>
      <c r="Q280" s="152"/>
      <c r="R280" s="162" t="s">
        <v>447</v>
      </c>
    </row>
    <row r="281" spans="1:18" ht="10.5" customHeight="1">
      <c r="A281" s="410"/>
      <c r="B281" s="412"/>
      <c r="C281" s="347"/>
      <c r="D281" s="337"/>
      <c r="E281" s="331"/>
      <c r="F281" s="82" t="s">
        <v>444</v>
      </c>
      <c r="G281" s="341"/>
      <c r="H281" s="344"/>
      <c r="I281" s="331"/>
      <c r="J281" s="310">
        <v>240</v>
      </c>
      <c r="K281" s="103">
        <v>260</v>
      </c>
      <c r="L281" s="310">
        <v>230</v>
      </c>
      <c r="M281" s="124"/>
      <c r="N281" s="105"/>
      <c r="O281" s="119"/>
      <c r="P281" s="151"/>
      <c r="Q281" s="152"/>
      <c r="R281" s="162" t="s">
        <v>289</v>
      </c>
    </row>
    <row r="282" spans="1:18" ht="10.5" customHeight="1">
      <c r="A282" s="410"/>
      <c r="B282" s="412"/>
      <c r="C282" s="347"/>
      <c r="D282" s="337"/>
      <c r="E282" s="331"/>
      <c r="F282" s="82" t="s">
        <v>445</v>
      </c>
      <c r="G282" s="341"/>
      <c r="H282" s="344"/>
      <c r="I282" s="331"/>
      <c r="J282" s="310">
        <v>245</v>
      </c>
      <c r="K282" s="103">
        <v>260</v>
      </c>
      <c r="L282" s="310">
        <v>232</v>
      </c>
      <c r="M282" s="124"/>
      <c r="N282" s="105"/>
      <c r="O282" s="119"/>
      <c r="P282" s="151"/>
      <c r="Q282" s="152"/>
      <c r="R282" s="162" t="s">
        <v>443</v>
      </c>
    </row>
    <row r="283" spans="1:18" ht="10.5" customHeight="1">
      <c r="A283" s="410"/>
      <c r="B283" s="412"/>
      <c r="C283" s="348"/>
      <c r="D283" s="349"/>
      <c r="E283" s="332"/>
      <c r="F283" s="82" t="s">
        <v>446</v>
      </c>
      <c r="G283" s="350"/>
      <c r="H283" s="351"/>
      <c r="I283" s="332"/>
      <c r="J283" s="310">
        <v>254</v>
      </c>
      <c r="K283" s="103">
        <v>265</v>
      </c>
      <c r="L283" s="310">
        <v>248</v>
      </c>
      <c r="M283" s="124"/>
      <c r="N283" s="105"/>
      <c r="O283" s="119"/>
      <c r="P283" s="151"/>
      <c r="Q283" s="152"/>
      <c r="R283" s="162" t="s">
        <v>290</v>
      </c>
    </row>
    <row r="284" spans="1:18" ht="10.5" customHeight="1">
      <c r="A284" s="410"/>
      <c r="B284" s="412"/>
      <c r="C284" s="346">
        <v>8</v>
      </c>
      <c r="D284" s="336">
        <v>216</v>
      </c>
      <c r="E284" s="330" t="s">
        <v>461</v>
      </c>
      <c r="F284" s="69" t="s">
        <v>440</v>
      </c>
      <c r="G284" s="340">
        <v>0</v>
      </c>
      <c r="H284" s="343">
        <v>400</v>
      </c>
      <c r="I284" s="330" t="s">
        <v>61</v>
      </c>
      <c r="J284" s="61">
        <v>175</v>
      </c>
      <c r="K284" s="70">
        <v>190</v>
      </c>
      <c r="L284" s="61">
        <v>172</v>
      </c>
      <c r="M284" s="110"/>
      <c r="N284" s="107"/>
      <c r="O284" s="122"/>
      <c r="P284" s="154"/>
      <c r="Q284" s="155"/>
      <c r="R284" s="163" t="s">
        <v>285</v>
      </c>
    </row>
    <row r="285" spans="1:18" ht="10.5" customHeight="1">
      <c r="A285" s="410"/>
      <c r="B285" s="412"/>
      <c r="C285" s="347"/>
      <c r="D285" s="337"/>
      <c r="E285" s="331"/>
      <c r="F285" s="82" t="s">
        <v>465</v>
      </c>
      <c r="G285" s="341"/>
      <c r="H285" s="344"/>
      <c r="I285" s="331"/>
      <c r="J285" s="310">
        <v>170</v>
      </c>
      <c r="K285" s="103">
        <v>180</v>
      </c>
      <c r="L285" s="310">
        <v>167</v>
      </c>
      <c r="M285" s="124"/>
      <c r="N285" s="105"/>
      <c r="O285" s="119"/>
      <c r="P285" s="151"/>
      <c r="Q285" s="152"/>
      <c r="R285" s="162" t="s">
        <v>286</v>
      </c>
    </row>
    <row r="286" spans="1:18" ht="10.5" customHeight="1">
      <c r="A286" s="410"/>
      <c r="B286" s="412"/>
      <c r="C286" s="347"/>
      <c r="D286" s="337"/>
      <c r="E286" s="331"/>
      <c r="F286" s="82" t="s">
        <v>442</v>
      </c>
      <c r="G286" s="341"/>
      <c r="H286" s="344"/>
      <c r="I286" s="331"/>
      <c r="J286" s="310">
        <v>235</v>
      </c>
      <c r="K286" s="103">
        <v>260</v>
      </c>
      <c r="L286" s="310">
        <v>232</v>
      </c>
      <c r="M286" s="124"/>
      <c r="N286" s="105"/>
      <c r="O286" s="119"/>
      <c r="P286" s="151"/>
      <c r="Q286" s="152"/>
      <c r="R286" s="162" t="s">
        <v>447</v>
      </c>
    </row>
    <row r="287" spans="1:18" ht="10.5" customHeight="1">
      <c r="A287" s="410"/>
      <c r="B287" s="412"/>
      <c r="C287" s="347"/>
      <c r="D287" s="337"/>
      <c r="E287" s="331"/>
      <c r="F287" s="82" t="s">
        <v>444</v>
      </c>
      <c r="G287" s="341"/>
      <c r="H287" s="344"/>
      <c r="I287" s="331"/>
      <c r="J287" s="310">
        <v>235</v>
      </c>
      <c r="K287" s="103">
        <v>255</v>
      </c>
      <c r="L287" s="310">
        <v>232</v>
      </c>
      <c r="M287" s="124"/>
      <c r="N287" s="105"/>
      <c r="O287" s="119"/>
      <c r="P287" s="151"/>
      <c r="Q287" s="152"/>
      <c r="R287" s="162" t="s">
        <v>289</v>
      </c>
    </row>
    <row r="288" spans="1:18" ht="10.5" customHeight="1">
      <c r="A288" s="410"/>
      <c r="B288" s="412"/>
      <c r="C288" s="347"/>
      <c r="D288" s="337"/>
      <c r="E288" s="331"/>
      <c r="F288" s="82" t="s">
        <v>445</v>
      </c>
      <c r="G288" s="341"/>
      <c r="H288" s="344"/>
      <c r="I288" s="331"/>
      <c r="J288" s="310">
        <v>235</v>
      </c>
      <c r="K288" s="103">
        <v>254</v>
      </c>
      <c r="L288" s="310">
        <v>232</v>
      </c>
      <c r="M288" s="124"/>
      <c r="N288" s="105"/>
      <c r="O288" s="119"/>
      <c r="P288" s="151"/>
      <c r="Q288" s="152"/>
      <c r="R288" s="162" t="s">
        <v>443</v>
      </c>
    </row>
    <row r="289" spans="1:21" ht="10.5" customHeight="1">
      <c r="A289" s="410"/>
      <c r="B289" s="412"/>
      <c r="C289" s="348"/>
      <c r="D289" s="349"/>
      <c r="E289" s="332"/>
      <c r="F289" s="82" t="s">
        <v>446</v>
      </c>
      <c r="G289" s="350"/>
      <c r="H289" s="351"/>
      <c r="I289" s="332"/>
      <c r="J289" s="310">
        <v>215</v>
      </c>
      <c r="K289" s="103">
        <v>238</v>
      </c>
      <c r="L289" s="310">
        <v>212</v>
      </c>
      <c r="M289" s="124"/>
      <c r="N289" s="105"/>
      <c r="O289" s="119"/>
      <c r="P289" s="151"/>
      <c r="Q289" s="152"/>
      <c r="R289" s="162" t="s">
        <v>290</v>
      </c>
      <c r="T289" s="302" t="s">
        <v>435</v>
      </c>
      <c r="U289" s="301" t="s">
        <v>436</v>
      </c>
    </row>
    <row r="290" spans="1:21" ht="10.5" customHeight="1">
      <c r="A290" s="410"/>
      <c r="B290" s="412"/>
      <c r="C290" s="346">
        <v>9</v>
      </c>
      <c r="D290" s="336">
        <v>217</v>
      </c>
      <c r="E290" s="330" t="s">
        <v>462</v>
      </c>
      <c r="F290" s="69" t="s">
        <v>450</v>
      </c>
      <c r="G290" s="340">
        <v>0</v>
      </c>
      <c r="H290" s="343">
        <v>400</v>
      </c>
      <c r="I290" s="330" t="s">
        <v>61</v>
      </c>
      <c r="J290" s="61">
        <v>175</v>
      </c>
      <c r="K290" s="70">
        <v>190</v>
      </c>
      <c r="L290" s="61">
        <v>172</v>
      </c>
      <c r="M290" s="110"/>
      <c r="N290" s="107"/>
      <c r="O290" s="122"/>
      <c r="P290" s="154"/>
      <c r="Q290" s="155"/>
      <c r="R290" s="163" t="s">
        <v>285</v>
      </c>
      <c r="T290" s="4"/>
      <c r="U290" s="301" t="s">
        <v>437</v>
      </c>
    </row>
    <row r="291" spans="1:21" ht="10.5" customHeight="1">
      <c r="A291" s="410"/>
      <c r="B291" s="412"/>
      <c r="C291" s="347"/>
      <c r="D291" s="337"/>
      <c r="E291" s="331"/>
      <c r="F291" s="82" t="s">
        <v>466</v>
      </c>
      <c r="G291" s="341"/>
      <c r="H291" s="344"/>
      <c r="I291" s="331"/>
      <c r="J291" s="310">
        <v>170</v>
      </c>
      <c r="K291" s="103">
        <v>200</v>
      </c>
      <c r="L291" s="310">
        <v>167</v>
      </c>
      <c r="M291" s="124"/>
      <c r="N291" s="105"/>
      <c r="O291" s="119"/>
      <c r="P291" s="151"/>
      <c r="Q291" s="152"/>
      <c r="R291" s="162" t="s">
        <v>286</v>
      </c>
    </row>
    <row r="292" spans="1:21" ht="10.5" customHeight="1">
      <c r="A292" s="410"/>
      <c r="B292" s="412"/>
      <c r="C292" s="347"/>
      <c r="D292" s="337"/>
      <c r="E292" s="331"/>
      <c r="F292" s="82" t="s">
        <v>442</v>
      </c>
      <c r="G292" s="341"/>
      <c r="H292" s="344"/>
      <c r="I292" s="331"/>
      <c r="J292" s="310">
        <v>240</v>
      </c>
      <c r="K292" s="103">
        <v>262</v>
      </c>
      <c r="L292" s="310">
        <v>237</v>
      </c>
      <c r="M292" s="124"/>
      <c r="N292" s="105"/>
      <c r="O292" s="119"/>
      <c r="P292" s="151"/>
      <c r="Q292" s="152"/>
      <c r="R292" s="162" t="s">
        <v>447</v>
      </c>
    </row>
    <row r="293" spans="1:21" ht="10.5" customHeight="1">
      <c r="A293" s="410"/>
      <c r="B293" s="412"/>
      <c r="C293" s="347"/>
      <c r="D293" s="337"/>
      <c r="E293" s="331"/>
      <c r="F293" s="82" t="s">
        <v>444</v>
      </c>
      <c r="G293" s="341"/>
      <c r="H293" s="344"/>
      <c r="I293" s="331"/>
      <c r="J293" s="310">
        <v>240</v>
      </c>
      <c r="K293" s="103">
        <v>260</v>
      </c>
      <c r="L293" s="310">
        <v>235</v>
      </c>
      <c r="M293" s="124"/>
      <c r="N293" s="105"/>
      <c r="O293" s="119"/>
      <c r="P293" s="151"/>
      <c r="Q293" s="152"/>
      <c r="R293" s="162" t="s">
        <v>289</v>
      </c>
    </row>
    <row r="294" spans="1:21" ht="10.5" customHeight="1">
      <c r="A294" s="410"/>
      <c r="B294" s="412"/>
      <c r="C294" s="347"/>
      <c r="D294" s="337"/>
      <c r="E294" s="331"/>
      <c r="F294" s="82" t="s">
        <v>445</v>
      </c>
      <c r="G294" s="341"/>
      <c r="H294" s="344"/>
      <c r="I294" s="331"/>
      <c r="J294" s="310">
        <v>235</v>
      </c>
      <c r="K294" s="103">
        <v>254</v>
      </c>
      <c r="L294" s="310">
        <v>232</v>
      </c>
      <c r="M294" s="124"/>
      <c r="N294" s="105"/>
      <c r="O294" s="119"/>
      <c r="P294" s="151"/>
      <c r="Q294" s="152"/>
      <c r="R294" s="162" t="s">
        <v>443</v>
      </c>
    </row>
    <row r="295" spans="1:21" ht="10.5" customHeight="1">
      <c r="A295" s="410"/>
      <c r="B295" s="412"/>
      <c r="C295" s="348"/>
      <c r="D295" s="349"/>
      <c r="E295" s="332"/>
      <c r="F295" s="82" t="s">
        <v>446</v>
      </c>
      <c r="G295" s="350"/>
      <c r="H295" s="351"/>
      <c r="I295" s="332"/>
      <c r="J295" s="310">
        <v>220</v>
      </c>
      <c r="K295" s="103">
        <v>247</v>
      </c>
      <c r="L295" s="310">
        <v>217</v>
      </c>
      <c r="M295" s="124"/>
      <c r="N295" s="105"/>
      <c r="O295" s="119"/>
      <c r="P295" s="151"/>
      <c r="Q295" s="152"/>
      <c r="R295" s="162" t="s">
        <v>290</v>
      </c>
    </row>
    <row r="296" spans="1:21" ht="10.5" customHeight="1">
      <c r="A296" s="410"/>
      <c r="B296" s="412"/>
      <c r="C296" s="346">
        <v>10</v>
      </c>
      <c r="D296" s="336">
        <v>218</v>
      </c>
      <c r="E296" s="330" t="s">
        <v>463</v>
      </c>
      <c r="F296" s="69" t="s">
        <v>452</v>
      </c>
      <c r="G296" s="340">
        <v>0</v>
      </c>
      <c r="H296" s="343">
        <v>400</v>
      </c>
      <c r="I296" s="330" t="s">
        <v>61</v>
      </c>
      <c r="J296" s="61"/>
      <c r="K296" s="70"/>
      <c r="L296" s="61">
        <v>240</v>
      </c>
      <c r="M296" s="110"/>
      <c r="N296" s="107"/>
      <c r="O296" s="122"/>
      <c r="P296" s="154"/>
      <c r="Q296" s="155"/>
      <c r="R296" s="163" t="s">
        <v>285</v>
      </c>
    </row>
    <row r="297" spans="1:21" ht="10.5" customHeight="1">
      <c r="A297" s="410"/>
      <c r="B297" s="412"/>
      <c r="C297" s="347"/>
      <c r="D297" s="337"/>
      <c r="E297" s="331"/>
      <c r="F297" s="82" t="s">
        <v>466</v>
      </c>
      <c r="G297" s="341"/>
      <c r="H297" s="344"/>
      <c r="I297" s="331"/>
      <c r="J297" s="310"/>
      <c r="K297" s="103"/>
      <c r="L297" s="310">
        <v>225</v>
      </c>
      <c r="M297" s="124"/>
      <c r="N297" s="105"/>
      <c r="O297" s="119"/>
      <c r="P297" s="151"/>
      <c r="Q297" s="152"/>
      <c r="R297" s="162" t="s">
        <v>286</v>
      </c>
    </row>
    <row r="298" spans="1:21" ht="10.5" customHeight="1">
      <c r="A298" s="410"/>
      <c r="B298" s="412"/>
      <c r="C298" s="347"/>
      <c r="D298" s="337"/>
      <c r="E298" s="331"/>
      <c r="F298" s="82" t="s">
        <v>442</v>
      </c>
      <c r="G298" s="341"/>
      <c r="H298" s="344"/>
      <c r="I298" s="331"/>
      <c r="J298" s="310"/>
      <c r="K298" s="103"/>
      <c r="L298" s="310">
        <v>225</v>
      </c>
      <c r="M298" s="124"/>
      <c r="N298" s="105"/>
      <c r="O298" s="119"/>
      <c r="P298" s="151"/>
      <c r="Q298" s="152"/>
      <c r="R298" s="162" t="s">
        <v>447</v>
      </c>
    </row>
    <row r="299" spans="1:21" ht="10.5" customHeight="1">
      <c r="A299" s="410"/>
      <c r="B299" s="412"/>
      <c r="C299" s="347"/>
      <c r="D299" s="337"/>
      <c r="E299" s="331"/>
      <c r="F299" s="82" t="s">
        <v>444</v>
      </c>
      <c r="G299" s="341"/>
      <c r="H299" s="344"/>
      <c r="I299" s="331"/>
      <c r="J299" s="310"/>
      <c r="K299" s="103"/>
      <c r="L299" s="310">
        <v>225</v>
      </c>
      <c r="M299" s="124"/>
      <c r="N299" s="105"/>
      <c r="O299" s="119"/>
      <c r="P299" s="151"/>
      <c r="Q299" s="152"/>
      <c r="R299" s="162" t="s">
        <v>289</v>
      </c>
    </row>
    <row r="300" spans="1:21" ht="10.5" customHeight="1">
      <c r="A300" s="410"/>
      <c r="B300" s="412"/>
      <c r="C300" s="347"/>
      <c r="D300" s="337"/>
      <c r="E300" s="331"/>
      <c r="F300" s="82" t="s">
        <v>445</v>
      </c>
      <c r="G300" s="341"/>
      <c r="H300" s="344"/>
      <c r="I300" s="331"/>
      <c r="J300" s="310"/>
      <c r="K300" s="103"/>
      <c r="L300" s="310">
        <v>225</v>
      </c>
      <c r="M300" s="124"/>
      <c r="N300" s="105"/>
      <c r="O300" s="119"/>
      <c r="P300" s="151"/>
      <c r="Q300" s="152"/>
      <c r="R300" s="162" t="s">
        <v>443</v>
      </c>
    </row>
    <row r="301" spans="1:21" ht="10.5" customHeight="1">
      <c r="A301" s="410"/>
      <c r="B301" s="412"/>
      <c r="C301" s="348"/>
      <c r="D301" s="349"/>
      <c r="E301" s="332"/>
      <c r="F301" s="82" t="s">
        <v>446</v>
      </c>
      <c r="G301" s="350"/>
      <c r="H301" s="351"/>
      <c r="I301" s="332"/>
      <c r="J301" s="310"/>
      <c r="K301" s="103"/>
      <c r="L301" s="310"/>
      <c r="M301" s="124"/>
      <c r="N301" s="105"/>
      <c r="O301" s="119"/>
      <c r="P301" s="151"/>
      <c r="Q301" s="152"/>
      <c r="R301" s="162" t="s">
        <v>290</v>
      </c>
    </row>
    <row r="302" spans="1:21" ht="10.5" customHeight="1">
      <c r="A302" s="410"/>
      <c r="B302" s="412"/>
      <c r="C302" s="346">
        <v>11</v>
      </c>
      <c r="D302" s="336">
        <v>219</v>
      </c>
      <c r="E302" s="330" t="s">
        <v>464</v>
      </c>
      <c r="F302" s="69" t="s">
        <v>454</v>
      </c>
      <c r="G302" s="340">
        <v>0</v>
      </c>
      <c r="H302" s="343">
        <v>400</v>
      </c>
      <c r="I302" s="330" t="s">
        <v>61</v>
      </c>
      <c r="J302" s="61">
        <v>255</v>
      </c>
      <c r="K302" s="70">
        <v>270</v>
      </c>
      <c r="L302" s="61">
        <v>252</v>
      </c>
      <c r="M302" s="110"/>
      <c r="N302" s="107"/>
      <c r="O302" s="122"/>
      <c r="P302" s="154"/>
      <c r="Q302" s="155"/>
      <c r="R302" s="163" t="s">
        <v>285</v>
      </c>
    </row>
    <row r="303" spans="1:21" ht="10.5" customHeight="1">
      <c r="A303" s="410"/>
      <c r="B303" s="412"/>
      <c r="C303" s="347"/>
      <c r="D303" s="337"/>
      <c r="E303" s="331"/>
      <c r="F303" s="82" t="s">
        <v>465</v>
      </c>
      <c r="G303" s="341"/>
      <c r="H303" s="344"/>
      <c r="I303" s="331"/>
      <c r="J303" s="310">
        <v>245</v>
      </c>
      <c r="K303" s="103">
        <v>255</v>
      </c>
      <c r="L303" s="310">
        <v>242</v>
      </c>
      <c r="M303" s="124"/>
      <c r="N303" s="105"/>
      <c r="O303" s="119"/>
      <c r="P303" s="151"/>
      <c r="Q303" s="152"/>
      <c r="R303" s="162" t="s">
        <v>286</v>
      </c>
    </row>
    <row r="304" spans="1:21" ht="10.5" customHeight="1">
      <c r="A304" s="410"/>
      <c r="B304" s="412"/>
      <c r="C304" s="347"/>
      <c r="D304" s="337"/>
      <c r="E304" s="331"/>
      <c r="F304" s="82" t="s">
        <v>442</v>
      </c>
      <c r="G304" s="341"/>
      <c r="H304" s="344"/>
      <c r="I304" s="331"/>
      <c r="J304" s="310">
        <v>240</v>
      </c>
      <c r="K304" s="103">
        <v>262</v>
      </c>
      <c r="L304" s="310">
        <v>237</v>
      </c>
      <c r="M304" s="124"/>
      <c r="N304" s="105"/>
      <c r="O304" s="119"/>
      <c r="P304" s="151"/>
      <c r="Q304" s="152"/>
      <c r="R304" s="162" t="s">
        <v>447</v>
      </c>
    </row>
    <row r="305" spans="1:18" ht="10.5" customHeight="1">
      <c r="A305" s="410"/>
      <c r="B305" s="412"/>
      <c r="C305" s="347"/>
      <c r="D305" s="337"/>
      <c r="E305" s="331"/>
      <c r="F305" s="82" t="s">
        <v>444</v>
      </c>
      <c r="G305" s="341"/>
      <c r="H305" s="344"/>
      <c r="I305" s="331"/>
      <c r="J305" s="310">
        <v>240</v>
      </c>
      <c r="K305" s="103">
        <v>260</v>
      </c>
      <c r="L305" s="310">
        <v>230</v>
      </c>
      <c r="M305" s="124"/>
      <c r="N305" s="105"/>
      <c r="O305" s="119"/>
      <c r="P305" s="151"/>
      <c r="Q305" s="152"/>
      <c r="R305" s="162" t="s">
        <v>289</v>
      </c>
    </row>
    <row r="306" spans="1:18" ht="10.5" customHeight="1">
      <c r="A306" s="410"/>
      <c r="B306" s="412"/>
      <c r="C306" s="347"/>
      <c r="D306" s="337"/>
      <c r="E306" s="331"/>
      <c r="F306" s="82" t="s">
        <v>445</v>
      </c>
      <c r="G306" s="341"/>
      <c r="H306" s="344"/>
      <c r="I306" s="331"/>
      <c r="J306" s="310">
        <v>245</v>
      </c>
      <c r="K306" s="103">
        <v>260</v>
      </c>
      <c r="L306" s="310">
        <v>232</v>
      </c>
      <c r="M306" s="124"/>
      <c r="N306" s="105"/>
      <c r="O306" s="119"/>
      <c r="P306" s="151"/>
      <c r="Q306" s="152"/>
      <c r="R306" s="162" t="s">
        <v>443</v>
      </c>
    </row>
    <row r="307" spans="1:18" ht="10.5" customHeight="1">
      <c r="A307" s="410"/>
      <c r="B307" s="412"/>
      <c r="C307" s="348"/>
      <c r="D307" s="349"/>
      <c r="E307" s="332"/>
      <c r="F307" s="82" t="s">
        <v>446</v>
      </c>
      <c r="G307" s="350"/>
      <c r="H307" s="351"/>
      <c r="I307" s="332"/>
      <c r="J307" s="310">
        <v>254</v>
      </c>
      <c r="K307" s="103">
        <v>265</v>
      </c>
      <c r="L307" s="310">
        <v>248</v>
      </c>
      <c r="M307" s="124"/>
      <c r="N307" s="105"/>
      <c r="O307" s="119"/>
      <c r="P307" s="151"/>
      <c r="Q307" s="152"/>
      <c r="R307" s="162" t="s">
        <v>290</v>
      </c>
    </row>
    <row r="308" spans="1:18" ht="10.5" customHeight="1">
      <c r="A308" s="410"/>
      <c r="B308" s="412"/>
      <c r="C308" s="346">
        <v>12</v>
      </c>
      <c r="D308" s="336">
        <v>220</v>
      </c>
      <c r="E308" s="330" t="s">
        <v>467</v>
      </c>
      <c r="F308" s="69" t="s">
        <v>440</v>
      </c>
      <c r="G308" s="340">
        <v>0</v>
      </c>
      <c r="H308" s="343">
        <v>400</v>
      </c>
      <c r="I308" s="330" t="s">
        <v>61</v>
      </c>
      <c r="J308" s="61">
        <v>175</v>
      </c>
      <c r="K308" s="70">
        <v>190</v>
      </c>
      <c r="L308" s="61">
        <v>172</v>
      </c>
      <c r="M308" s="110"/>
      <c r="N308" s="107"/>
      <c r="O308" s="122"/>
      <c r="P308" s="154"/>
      <c r="Q308" s="155"/>
      <c r="R308" s="163" t="s">
        <v>285</v>
      </c>
    </row>
    <row r="309" spans="1:18" ht="10.5" customHeight="1">
      <c r="A309" s="410"/>
      <c r="B309" s="412"/>
      <c r="C309" s="347"/>
      <c r="D309" s="337"/>
      <c r="E309" s="331"/>
      <c r="F309" s="82" t="s">
        <v>471</v>
      </c>
      <c r="G309" s="341"/>
      <c r="H309" s="344"/>
      <c r="I309" s="331"/>
      <c r="J309" s="310">
        <v>170</v>
      </c>
      <c r="K309" s="103">
        <v>180</v>
      </c>
      <c r="L309" s="310">
        <v>167</v>
      </c>
      <c r="M309" s="124"/>
      <c r="N309" s="105"/>
      <c r="O309" s="119"/>
      <c r="P309" s="151"/>
      <c r="Q309" s="152"/>
      <c r="R309" s="162" t="s">
        <v>286</v>
      </c>
    </row>
    <row r="310" spans="1:18" ht="10.5" customHeight="1">
      <c r="A310" s="410"/>
      <c r="B310" s="412"/>
      <c r="C310" s="347"/>
      <c r="D310" s="337"/>
      <c r="E310" s="331"/>
      <c r="F310" s="82" t="s">
        <v>442</v>
      </c>
      <c r="G310" s="341"/>
      <c r="H310" s="344"/>
      <c r="I310" s="331"/>
      <c r="J310" s="310">
        <v>235</v>
      </c>
      <c r="K310" s="103">
        <v>260</v>
      </c>
      <c r="L310" s="310">
        <v>232</v>
      </c>
      <c r="M310" s="124"/>
      <c r="N310" s="105"/>
      <c r="O310" s="119"/>
      <c r="P310" s="151"/>
      <c r="Q310" s="152"/>
      <c r="R310" s="162" t="s">
        <v>447</v>
      </c>
    </row>
    <row r="311" spans="1:18" ht="10.5" customHeight="1">
      <c r="A311" s="410"/>
      <c r="B311" s="412"/>
      <c r="C311" s="347"/>
      <c r="D311" s="337"/>
      <c r="E311" s="331"/>
      <c r="F311" s="82" t="s">
        <v>444</v>
      </c>
      <c r="G311" s="341"/>
      <c r="H311" s="344"/>
      <c r="I311" s="331"/>
      <c r="J311" s="310">
        <v>235</v>
      </c>
      <c r="K311" s="103">
        <v>255</v>
      </c>
      <c r="L311" s="310">
        <v>232</v>
      </c>
      <c r="M311" s="124"/>
      <c r="N311" s="105"/>
      <c r="O311" s="119"/>
      <c r="P311" s="151"/>
      <c r="Q311" s="152"/>
      <c r="R311" s="162" t="s">
        <v>289</v>
      </c>
    </row>
    <row r="312" spans="1:18" ht="10.5" customHeight="1">
      <c r="A312" s="410"/>
      <c r="B312" s="412"/>
      <c r="C312" s="347"/>
      <c r="D312" s="337"/>
      <c r="E312" s="331"/>
      <c r="F312" s="82" t="s">
        <v>445</v>
      </c>
      <c r="G312" s="341"/>
      <c r="H312" s="344"/>
      <c r="I312" s="331"/>
      <c r="J312" s="310">
        <v>235</v>
      </c>
      <c r="K312" s="103">
        <v>254</v>
      </c>
      <c r="L312" s="310">
        <v>232</v>
      </c>
      <c r="M312" s="124"/>
      <c r="N312" s="105"/>
      <c r="O312" s="119"/>
      <c r="P312" s="151"/>
      <c r="Q312" s="152"/>
      <c r="R312" s="162" t="s">
        <v>443</v>
      </c>
    </row>
    <row r="313" spans="1:18" ht="10.5" customHeight="1">
      <c r="A313" s="410"/>
      <c r="B313" s="412"/>
      <c r="C313" s="348"/>
      <c r="D313" s="349"/>
      <c r="E313" s="332"/>
      <c r="F313" s="82" t="s">
        <v>446</v>
      </c>
      <c r="G313" s="350"/>
      <c r="H313" s="351"/>
      <c r="I313" s="332"/>
      <c r="J313" s="310">
        <v>215</v>
      </c>
      <c r="K313" s="103">
        <v>238</v>
      </c>
      <c r="L313" s="310">
        <v>212</v>
      </c>
      <c r="M313" s="124"/>
      <c r="N313" s="105"/>
      <c r="O313" s="119"/>
      <c r="P313" s="151"/>
      <c r="Q313" s="152"/>
      <c r="R313" s="162" t="s">
        <v>290</v>
      </c>
    </row>
    <row r="314" spans="1:18" ht="10.5" customHeight="1">
      <c r="A314" s="410"/>
      <c r="B314" s="412"/>
      <c r="C314" s="346">
        <v>13</v>
      </c>
      <c r="D314" s="336">
        <v>221</v>
      </c>
      <c r="E314" s="330" t="s">
        <v>468</v>
      </c>
      <c r="F314" s="69" t="s">
        <v>450</v>
      </c>
      <c r="G314" s="340">
        <v>0</v>
      </c>
      <c r="H314" s="343">
        <v>400</v>
      </c>
      <c r="I314" s="330" t="s">
        <v>61</v>
      </c>
      <c r="J314" s="61">
        <v>175</v>
      </c>
      <c r="K314" s="70">
        <v>190</v>
      </c>
      <c r="L314" s="61">
        <v>172</v>
      </c>
      <c r="M314" s="110"/>
      <c r="N314" s="107"/>
      <c r="O314" s="122"/>
      <c r="P314" s="154"/>
      <c r="Q314" s="155"/>
      <c r="R314" s="163" t="s">
        <v>285</v>
      </c>
    </row>
    <row r="315" spans="1:18" ht="10.5" customHeight="1">
      <c r="A315" s="410"/>
      <c r="B315" s="412"/>
      <c r="C315" s="347"/>
      <c r="D315" s="337"/>
      <c r="E315" s="331"/>
      <c r="F315" s="82" t="s">
        <v>472</v>
      </c>
      <c r="G315" s="341"/>
      <c r="H315" s="344"/>
      <c r="I315" s="331"/>
      <c r="J315" s="310">
        <v>170</v>
      </c>
      <c r="K315" s="103">
        <v>200</v>
      </c>
      <c r="L315" s="310">
        <v>167</v>
      </c>
      <c r="M315" s="124"/>
      <c r="N315" s="105"/>
      <c r="O315" s="119"/>
      <c r="P315" s="151"/>
      <c r="Q315" s="152"/>
      <c r="R315" s="162" t="s">
        <v>286</v>
      </c>
    </row>
    <row r="316" spans="1:18" ht="10.5" customHeight="1">
      <c r="A316" s="410"/>
      <c r="B316" s="412"/>
      <c r="C316" s="347"/>
      <c r="D316" s="337"/>
      <c r="E316" s="331"/>
      <c r="F316" s="82" t="s">
        <v>442</v>
      </c>
      <c r="G316" s="341"/>
      <c r="H316" s="344"/>
      <c r="I316" s="331"/>
      <c r="J316" s="310">
        <v>240</v>
      </c>
      <c r="K316" s="103">
        <v>262</v>
      </c>
      <c r="L316" s="310">
        <v>237</v>
      </c>
      <c r="M316" s="124"/>
      <c r="N316" s="105"/>
      <c r="O316" s="119"/>
      <c r="P316" s="151"/>
      <c r="Q316" s="152"/>
      <c r="R316" s="162" t="s">
        <v>447</v>
      </c>
    </row>
    <row r="317" spans="1:18" ht="10.5" customHeight="1">
      <c r="A317" s="410"/>
      <c r="B317" s="412"/>
      <c r="C317" s="347"/>
      <c r="D317" s="337"/>
      <c r="E317" s="331"/>
      <c r="F317" s="82" t="s">
        <v>444</v>
      </c>
      <c r="G317" s="341"/>
      <c r="H317" s="344"/>
      <c r="I317" s="331"/>
      <c r="J317" s="310">
        <v>240</v>
      </c>
      <c r="K317" s="103">
        <v>260</v>
      </c>
      <c r="L317" s="310">
        <v>235</v>
      </c>
      <c r="M317" s="124"/>
      <c r="N317" s="105"/>
      <c r="O317" s="119"/>
      <c r="P317" s="151"/>
      <c r="Q317" s="152"/>
      <c r="R317" s="162" t="s">
        <v>289</v>
      </c>
    </row>
    <row r="318" spans="1:18" ht="10.5" customHeight="1">
      <c r="A318" s="410"/>
      <c r="B318" s="412"/>
      <c r="C318" s="347"/>
      <c r="D318" s="337"/>
      <c r="E318" s="331"/>
      <c r="F318" s="82" t="s">
        <v>445</v>
      </c>
      <c r="G318" s="341"/>
      <c r="H318" s="344"/>
      <c r="I318" s="331"/>
      <c r="J318" s="310">
        <v>235</v>
      </c>
      <c r="K318" s="103">
        <v>254</v>
      </c>
      <c r="L318" s="310">
        <v>232</v>
      </c>
      <c r="M318" s="124"/>
      <c r="N318" s="105"/>
      <c r="O318" s="119"/>
      <c r="P318" s="151"/>
      <c r="Q318" s="152"/>
      <c r="R318" s="162" t="s">
        <v>443</v>
      </c>
    </row>
    <row r="319" spans="1:18" ht="10.5" customHeight="1">
      <c r="A319" s="410"/>
      <c r="B319" s="412"/>
      <c r="C319" s="348"/>
      <c r="D319" s="349"/>
      <c r="E319" s="332"/>
      <c r="F319" s="82" t="s">
        <v>446</v>
      </c>
      <c r="G319" s="350"/>
      <c r="H319" s="351"/>
      <c r="I319" s="332"/>
      <c r="J319" s="310">
        <v>220</v>
      </c>
      <c r="K319" s="103">
        <v>247</v>
      </c>
      <c r="L319" s="310">
        <v>217</v>
      </c>
      <c r="M319" s="124"/>
      <c r="N319" s="105"/>
      <c r="O319" s="119"/>
      <c r="P319" s="151"/>
      <c r="Q319" s="152"/>
      <c r="R319" s="162" t="s">
        <v>290</v>
      </c>
    </row>
    <row r="320" spans="1:18" ht="10.5" customHeight="1">
      <c r="A320" s="410"/>
      <c r="B320" s="412"/>
      <c r="C320" s="346">
        <v>14</v>
      </c>
      <c r="D320" s="336">
        <v>222</v>
      </c>
      <c r="E320" s="330" t="s">
        <v>469</v>
      </c>
      <c r="F320" s="69" t="s">
        <v>452</v>
      </c>
      <c r="G320" s="340">
        <v>0</v>
      </c>
      <c r="H320" s="343">
        <v>400</v>
      </c>
      <c r="I320" s="330" t="s">
        <v>61</v>
      </c>
      <c r="J320" s="61"/>
      <c r="K320" s="70"/>
      <c r="L320" s="61">
        <v>240</v>
      </c>
      <c r="M320" s="110"/>
      <c r="N320" s="107"/>
      <c r="O320" s="122"/>
      <c r="P320" s="154"/>
      <c r="Q320" s="155"/>
      <c r="R320" s="163" t="s">
        <v>285</v>
      </c>
    </row>
    <row r="321" spans="1:18" ht="10.5" customHeight="1">
      <c r="A321" s="410"/>
      <c r="B321" s="412"/>
      <c r="C321" s="347"/>
      <c r="D321" s="337"/>
      <c r="E321" s="331"/>
      <c r="F321" s="82" t="s">
        <v>472</v>
      </c>
      <c r="G321" s="341"/>
      <c r="H321" s="344"/>
      <c r="I321" s="331"/>
      <c r="J321" s="310"/>
      <c r="K321" s="103"/>
      <c r="L321" s="310">
        <v>225</v>
      </c>
      <c r="M321" s="124"/>
      <c r="N321" s="105"/>
      <c r="O321" s="119"/>
      <c r="P321" s="151"/>
      <c r="Q321" s="152"/>
      <c r="R321" s="162" t="s">
        <v>286</v>
      </c>
    </row>
    <row r="322" spans="1:18" ht="10.5" customHeight="1">
      <c r="A322" s="410"/>
      <c r="B322" s="412"/>
      <c r="C322" s="347"/>
      <c r="D322" s="337"/>
      <c r="E322" s="331"/>
      <c r="F322" s="82" t="s">
        <v>442</v>
      </c>
      <c r="G322" s="341"/>
      <c r="H322" s="344"/>
      <c r="I322" s="331"/>
      <c r="J322" s="310"/>
      <c r="K322" s="103"/>
      <c r="L322" s="310">
        <v>225</v>
      </c>
      <c r="M322" s="124"/>
      <c r="N322" s="105"/>
      <c r="O322" s="119"/>
      <c r="P322" s="151"/>
      <c r="Q322" s="152"/>
      <c r="R322" s="162" t="s">
        <v>447</v>
      </c>
    </row>
    <row r="323" spans="1:18" ht="10.5" customHeight="1">
      <c r="A323" s="410"/>
      <c r="B323" s="412"/>
      <c r="C323" s="347"/>
      <c r="D323" s="337"/>
      <c r="E323" s="331"/>
      <c r="F323" s="82" t="s">
        <v>444</v>
      </c>
      <c r="G323" s="341"/>
      <c r="H323" s="344"/>
      <c r="I323" s="331"/>
      <c r="J323" s="310"/>
      <c r="K323" s="103"/>
      <c r="L323" s="310">
        <v>225</v>
      </c>
      <c r="M323" s="124"/>
      <c r="N323" s="105"/>
      <c r="O323" s="119"/>
      <c r="P323" s="151"/>
      <c r="Q323" s="152"/>
      <c r="R323" s="162" t="s">
        <v>289</v>
      </c>
    </row>
    <row r="324" spans="1:18" ht="10.5" customHeight="1">
      <c r="A324" s="410"/>
      <c r="B324" s="412"/>
      <c r="C324" s="347"/>
      <c r="D324" s="337"/>
      <c r="E324" s="331"/>
      <c r="F324" s="82" t="s">
        <v>445</v>
      </c>
      <c r="G324" s="341"/>
      <c r="H324" s="344"/>
      <c r="I324" s="331"/>
      <c r="J324" s="310"/>
      <c r="K324" s="103"/>
      <c r="L324" s="310">
        <v>225</v>
      </c>
      <c r="M324" s="124"/>
      <c r="N324" s="105"/>
      <c r="O324" s="119"/>
      <c r="P324" s="151"/>
      <c r="Q324" s="152"/>
      <c r="R324" s="162" t="s">
        <v>443</v>
      </c>
    </row>
    <row r="325" spans="1:18" ht="10.5" customHeight="1">
      <c r="A325" s="410"/>
      <c r="B325" s="412"/>
      <c r="C325" s="348"/>
      <c r="D325" s="349"/>
      <c r="E325" s="332"/>
      <c r="F325" s="82" t="s">
        <v>446</v>
      </c>
      <c r="G325" s="350"/>
      <c r="H325" s="351"/>
      <c r="I325" s="332"/>
      <c r="J325" s="310"/>
      <c r="K325" s="103"/>
      <c r="L325" s="310"/>
      <c r="M325" s="124"/>
      <c r="N325" s="105"/>
      <c r="O325" s="119"/>
      <c r="P325" s="151"/>
      <c r="Q325" s="152"/>
      <c r="R325" s="162" t="s">
        <v>290</v>
      </c>
    </row>
    <row r="326" spans="1:18" ht="10.5" customHeight="1">
      <c r="A326" s="410"/>
      <c r="B326" s="412"/>
      <c r="C326" s="333">
        <v>15</v>
      </c>
      <c r="D326" s="336">
        <v>223</v>
      </c>
      <c r="E326" s="330" t="s">
        <v>470</v>
      </c>
      <c r="F326" s="69" t="s">
        <v>454</v>
      </c>
      <c r="G326" s="340">
        <v>0</v>
      </c>
      <c r="H326" s="343">
        <v>400</v>
      </c>
      <c r="I326" s="330" t="s">
        <v>61</v>
      </c>
      <c r="J326" s="61">
        <v>255</v>
      </c>
      <c r="K326" s="70">
        <v>270</v>
      </c>
      <c r="L326" s="61">
        <v>252</v>
      </c>
      <c r="M326" s="110"/>
      <c r="N326" s="107"/>
      <c r="O326" s="122"/>
      <c r="P326" s="154"/>
      <c r="Q326" s="155"/>
      <c r="R326" s="163" t="s">
        <v>285</v>
      </c>
    </row>
    <row r="327" spans="1:18" ht="10.5" customHeight="1">
      <c r="A327" s="410"/>
      <c r="B327" s="412"/>
      <c r="C327" s="334"/>
      <c r="D327" s="337"/>
      <c r="E327" s="331"/>
      <c r="F327" s="82" t="s">
        <v>471</v>
      </c>
      <c r="G327" s="341"/>
      <c r="H327" s="344"/>
      <c r="I327" s="331"/>
      <c r="J327" s="310">
        <v>245</v>
      </c>
      <c r="K327" s="103">
        <v>255</v>
      </c>
      <c r="L327" s="310">
        <v>242</v>
      </c>
      <c r="M327" s="124"/>
      <c r="N327" s="105"/>
      <c r="O327" s="119"/>
      <c r="P327" s="151"/>
      <c r="Q327" s="152"/>
      <c r="R327" s="162" t="s">
        <v>286</v>
      </c>
    </row>
    <row r="328" spans="1:18" ht="10.5" customHeight="1">
      <c r="A328" s="410"/>
      <c r="B328" s="412"/>
      <c r="C328" s="334"/>
      <c r="D328" s="337"/>
      <c r="E328" s="331"/>
      <c r="F328" s="82" t="s">
        <v>442</v>
      </c>
      <c r="G328" s="341"/>
      <c r="H328" s="344"/>
      <c r="I328" s="331"/>
      <c r="J328" s="310">
        <v>240</v>
      </c>
      <c r="K328" s="103">
        <v>262</v>
      </c>
      <c r="L328" s="310">
        <v>237</v>
      </c>
      <c r="M328" s="124"/>
      <c r="N328" s="105"/>
      <c r="O328" s="119"/>
      <c r="P328" s="151"/>
      <c r="Q328" s="152"/>
      <c r="R328" s="162" t="s">
        <v>447</v>
      </c>
    </row>
    <row r="329" spans="1:18" ht="10.5" customHeight="1">
      <c r="A329" s="410"/>
      <c r="B329" s="412"/>
      <c r="C329" s="334"/>
      <c r="D329" s="337"/>
      <c r="E329" s="331"/>
      <c r="F329" s="82" t="s">
        <v>444</v>
      </c>
      <c r="G329" s="341"/>
      <c r="H329" s="344"/>
      <c r="I329" s="331"/>
      <c r="J329" s="310">
        <v>240</v>
      </c>
      <c r="K329" s="103">
        <v>260</v>
      </c>
      <c r="L329" s="310">
        <v>230</v>
      </c>
      <c r="M329" s="124"/>
      <c r="N329" s="105"/>
      <c r="O329" s="119"/>
      <c r="P329" s="151"/>
      <c r="Q329" s="152"/>
      <c r="R329" s="162" t="s">
        <v>289</v>
      </c>
    </row>
    <row r="330" spans="1:18" ht="10.5" customHeight="1">
      <c r="A330" s="410"/>
      <c r="B330" s="412"/>
      <c r="C330" s="334"/>
      <c r="D330" s="337"/>
      <c r="E330" s="331"/>
      <c r="F330" s="82" t="s">
        <v>445</v>
      </c>
      <c r="G330" s="341"/>
      <c r="H330" s="344"/>
      <c r="I330" s="331"/>
      <c r="J330" s="310">
        <v>245</v>
      </c>
      <c r="K330" s="103">
        <v>260</v>
      </c>
      <c r="L330" s="310">
        <v>232</v>
      </c>
      <c r="M330" s="124"/>
      <c r="N330" s="105"/>
      <c r="O330" s="119"/>
      <c r="P330" s="151"/>
      <c r="Q330" s="152"/>
      <c r="R330" s="162" t="s">
        <v>443</v>
      </c>
    </row>
    <row r="331" spans="1:18" ht="10.5" customHeight="1" thickBot="1">
      <c r="A331" s="410"/>
      <c r="B331" s="412"/>
      <c r="C331" s="335"/>
      <c r="D331" s="338"/>
      <c r="E331" s="339"/>
      <c r="F331" s="88" t="s">
        <v>446</v>
      </c>
      <c r="G331" s="342"/>
      <c r="H331" s="345"/>
      <c r="I331" s="339"/>
      <c r="J331" s="111">
        <v>254</v>
      </c>
      <c r="K331" s="112">
        <v>265</v>
      </c>
      <c r="L331" s="111">
        <v>248</v>
      </c>
      <c r="M331" s="115"/>
      <c r="N331" s="116"/>
      <c r="O331" s="129"/>
      <c r="P331" s="157"/>
      <c r="Q331" s="158"/>
      <c r="R331" s="164" t="s">
        <v>290</v>
      </c>
    </row>
    <row r="332" spans="1:18" ht="15.75" customHeight="1" thickTop="1"/>
  </sheetData>
  <mergeCells count="164">
    <mergeCell ref="I248:I253"/>
    <mergeCell ref="E236:E241"/>
    <mergeCell ref="G236:G241"/>
    <mergeCell ref="H236:H241"/>
    <mergeCell ref="I236:I241"/>
    <mergeCell ref="I242:I247"/>
    <mergeCell ref="A236:A331"/>
    <mergeCell ref="B236:B331"/>
    <mergeCell ref="C242:C247"/>
    <mergeCell ref="D242:D247"/>
    <mergeCell ref="E242:E247"/>
    <mergeCell ref="G242:G247"/>
    <mergeCell ref="H242:H247"/>
    <mergeCell ref="E248:E253"/>
    <mergeCell ref="G248:G253"/>
    <mergeCell ref="H248:H253"/>
    <mergeCell ref="C236:C241"/>
    <mergeCell ref="D236:D241"/>
    <mergeCell ref="C248:C253"/>
    <mergeCell ref="D248:D253"/>
    <mergeCell ref="C254:C259"/>
    <mergeCell ref="D254:D259"/>
    <mergeCell ref="C266:C271"/>
    <mergeCell ref="D266:D271"/>
    <mergeCell ref="C278:C283"/>
    <mergeCell ref="D278:D283"/>
    <mergeCell ref="R108:R111"/>
    <mergeCell ref="I121:I127"/>
    <mergeCell ref="C175:C181"/>
    <mergeCell ref="D175:D181"/>
    <mergeCell ref="E175:E181"/>
    <mergeCell ref="G175:G181"/>
    <mergeCell ref="H175:H181"/>
    <mergeCell ref="I175:I181"/>
    <mergeCell ref="C121:C127"/>
    <mergeCell ref="D121:D127"/>
    <mergeCell ref="E121:E127"/>
    <mergeCell ref="G121:G127"/>
    <mergeCell ref="H121:H127"/>
    <mergeCell ref="E254:E259"/>
    <mergeCell ref="G254:G259"/>
    <mergeCell ref="H254:H259"/>
    <mergeCell ref="I254:I259"/>
    <mergeCell ref="C260:C265"/>
    <mergeCell ref="D260:D265"/>
    <mergeCell ref="E260:E265"/>
    <mergeCell ref="G260:G265"/>
    <mergeCell ref="H260:H265"/>
    <mergeCell ref="R2:R3"/>
    <mergeCell ref="A58:A79"/>
    <mergeCell ref="A26:A41"/>
    <mergeCell ref="B26:B41"/>
    <mergeCell ref="A42:A57"/>
    <mergeCell ref="B42:B57"/>
    <mergeCell ref="C67:C73"/>
    <mergeCell ref="D67:D73"/>
    <mergeCell ref="E67:E73"/>
    <mergeCell ref="G67:G73"/>
    <mergeCell ref="H67:H73"/>
    <mergeCell ref="I67:I73"/>
    <mergeCell ref="R54:R57"/>
    <mergeCell ref="N2:O2"/>
    <mergeCell ref="P2:Q2"/>
    <mergeCell ref="A4:A25"/>
    <mergeCell ref="B4:B25"/>
    <mergeCell ref="B58:B79"/>
    <mergeCell ref="F2:F3"/>
    <mergeCell ref="C13:C19"/>
    <mergeCell ref="D13:D19"/>
    <mergeCell ref="E13:E19"/>
    <mergeCell ref="G13:G19"/>
    <mergeCell ref="H13:H19"/>
    <mergeCell ref="A112:A133"/>
    <mergeCell ref="B112:B133"/>
    <mergeCell ref="A134:A149"/>
    <mergeCell ref="B134:B149"/>
    <mergeCell ref="A150:A165"/>
    <mergeCell ref="B150:B165"/>
    <mergeCell ref="A1:Q1"/>
    <mergeCell ref="A2:B3"/>
    <mergeCell ref="C2:C3"/>
    <mergeCell ref="D2:D3"/>
    <mergeCell ref="E2:E3"/>
    <mergeCell ref="I2:I3"/>
    <mergeCell ref="J2:K2"/>
    <mergeCell ref="L2:M2"/>
    <mergeCell ref="G2:H2"/>
    <mergeCell ref="A96:A111"/>
    <mergeCell ref="B96:B111"/>
    <mergeCell ref="A80:A95"/>
    <mergeCell ref="B80:B95"/>
    <mergeCell ref="I13:I19"/>
    <mergeCell ref="A220:A235"/>
    <mergeCell ref="B220:B235"/>
    <mergeCell ref="R220:R235"/>
    <mergeCell ref="A166:A187"/>
    <mergeCell ref="B166:B187"/>
    <mergeCell ref="A188:A203"/>
    <mergeCell ref="B188:B203"/>
    <mergeCell ref="A204:A219"/>
    <mergeCell ref="B204:B219"/>
    <mergeCell ref="I260:I265"/>
    <mergeCell ref="E278:E283"/>
    <mergeCell ref="G278:G283"/>
    <mergeCell ref="H278:H283"/>
    <mergeCell ref="I278:I283"/>
    <mergeCell ref="E266:E271"/>
    <mergeCell ref="G266:G271"/>
    <mergeCell ref="H266:H271"/>
    <mergeCell ref="I266:I271"/>
    <mergeCell ref="C272:C277"/>
    <mergeCell ref="D272:D277"/>
    <mergeCell ref="E272:E277"/>
    <mergeCell ref="G272:G277"/>
    <mergeCell ref="H272:H277"/>
    <mergeCell ref="I272:I277"/>
    <mergeCell ref="I302:I307"/>
    <mergeCell ref="C284:C289"/>
    <mergeCell ref="D284:D289"/>
    <mergeCell ref="E284:E289"/>
    <mergeCell ref="G284:G289"/>
    <mergeCell ref="H284:H289"/>
    <mergeCell ref="I284:I289"/>
    <mergeCell ref="C302:C307"/>
    <mergeCell ref="D302:D307"/>
    <mergeCell ref="E302:E307"/>
    <mergeCell ref="G302:G307"/>
    <mergeCell ref="H302:H307"/>
    <mergeCell ref="I290:I295"/>
    <mergeCell ref="C296:C301"/>
    <mergeCell ref="D296:D301"/>
    <mergeCell ref="E296:E301"/>
    <mergeCell ref="G296:G301"/>
    <mergeCell ref="H296:H301"/>
    <mergeCell ref="I296:I301"/>
    <mergeCell ref="C290:C295"/>
    <mergeCell ref="D290:D295"/>
    <mergeCell ref="E290:E295"/>
    <mergeCell ref="G290:G295"/>
    <mergeCell ref="H290:H295"/>
    <mergeCell ref="I308:I313"/>
    <mergeCell ref="C314:C319"/>
    <mergeCell ref="D314:D319"/>
    <mergeCell ref="E314:E319"/>
    <mergeCell ref="G314:G319"/>
    <mergeCell ref="H314:H319"/>
    <mergeCell ref="I314:I319"/>
    <mergeCell ref="C308:C313"/>
    <mergeCell ref="D308:D313"/>
    <mergeCell ref="E308:E313"/>
    <mergeCell ref="G308:G313"/>
    <mergeCell ref="H308:H313"/>
    <mergeCell ref="I320:I325"/>
    <mergeCell ref="C326:C331"/>
    <mergeCell ref="D326:D331"/>
    <mergeCell ref="E326:E331"/>
    <mergeCell ref="G326:G331"/>
    <mergeCell ref="H326:H331"/>
    <mergeCell ref="I326:I331"/>
    <mergeCell ref="C320:C325"/>
    <mergeCell ref="D320:D325"/>
    <mergeCell ref="E320:E325"/>
    <mergeCell ref="G320:G325"/>
    <mergeCell ref="H320:H325"/>
  </mergeCells>
  <phoneticPr fontId="3" type="noConversion"/>
  <pageMargins left="0.19685039370078741" right="0" top="0.39370078740157483" bottom="0" header="0" footer="0"/>
  <pageSetup paperSize="9" scale="56" orientation="landscape" r:id="rId1"/>
  <rowBreaks count="5" manualBreakCount="5">
    <brk id="57" max="17" man="1"/>
    <brk id="111" max="17" man="1"/>
    <brk id="165" max="17" man="1"/>
    <brk id="219" max="17" man="1"/>
    <brk id="235" max="17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7"/>
  <sheetViews>
    <sheetView view="pageBreakPreview" zoomScale="145" zoomScaleSheetLayoutView="14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9" sqref="G9"/>
    </sheetView>
  </sheetViews>
  <sheetFormatPr defaultColWidth="9.140625" defaultRowHeight="15"/>
  <cols>
    <col min="1" max="3" width="2.7109375" style="19" customWidth="1"/>
    <col min="4" max="4" width="5.7109375" style="19" customWidth="1"/>
    <col min="5" max="5" width="7.7109375" style="19" customWidth="1"/>
    <col min="6" max="6" width="9.140625" style="19" customWidth="1"/>
    <col min="7" max="7" width="42.7109375" style="19" customWidth="1"/>
    <col min="8" max="9" width="9.5703125" style="19" customWidth="1"/>
    <col min="10" max="10" width="17.42578125" style="19" customWidth="1"/>
    <col min="11" max="16384" width="9.140625" style="19"/>
  </cols>
  <sheetData>
    <row r="1" spans="1:12" ht="16.5" thickBot="1">
      <c r="A1" s="417" t="s">
        <v>42</v>
      </c>
      <c r="B1" s="417"/>
      <c r="C1" s="417"/>
      <c r="D1" s="417"/>
      <c r="E1" s="417"/>
      <c r="F1" s="417"/>
      <c r="G1" s="417"/>
      <c r="H1" s="417"/>
      <c r="I1" s="417"/>
      <c r="J1" s="417"/>
      <c r="K1" s="417"/>
      <c r="L1" s="417"/>
    </row>
    <row r="2" spans="1:12" s="170" customFormat="1" ht="15" customHeight="1">
      <c r="A2" s="422" t="s">
        <v>0</v>
      </c>
      <c r="B2" s="423"/>
      <c r="C2" s="376" t="s">
        <v>1</v>
      </c>
      <c r="D2" s="387" t="s">
        <v>31</v>
      </c>
      <c r="E2" s="387" t="s">
        <v>34</v>
      </c>
      <c r="F2" s="374" t="s">
        <v>2</v>
      </c>
      <c r="G2" s="387" t="s">
        <v>33</v>
      </c>
      <c r="H2" s="418" t="s">
        <v>35</v>
      </c>
      <c r="I2" s="418" t="s">
        <v>44</v>
      </c>
      <c r="J2" s="418" t="s">
        <v>12</v>
      </c>
    </row>
    <row r="3" spans="1:12" s="170" customFormat="1" ht="18.75" customHeight="1" thickBot="1">
      <c r="A3" s="424"/>
      <c r="B3" s="425"/>
      <c r="C3" s="426"/>
      <c r="D3" s="421"/>
      <c r="E3" s="421"/>
      <c r="F3" s="420"/>
      <c r="G3" s="421"/>
      <c r="H3" s="419"/>
      <c r="I3" s="419"/>
      <c r="J3" s="419"/>
    </row>
    <row r="4" spans="1:12" ht="11.1" customHeight="1" thickTop="1">
      <c r="A4" s="369" t="s">
        <v>37</v>
      </c>
      <c r="B4" s="415" t="s">
        <v>422</v>
      </c>
      <c r="C4" s="5">
        <v>0</v>
      </c>
      <c r="D4" s="5">
        <v>0</v>
      </c>
      <c r="E4" s="5">
        <v>0</v>
      </c>
      <c r="F4" s="297" t="s">
        <v>99</v>
      </c>
      <c r="G4" s="26" t="s">
        <v>59</v>
      </c>
      <c r="H4" s="40" t="s">
        <v>277</v>
      </c>
      <c r="I4" s="64"/>
      <c r="J4" s="79"/>
      <c r="K4" s="295" t="str">
        <f t="shared" ref="K4:K19" si="0">"INSERT INTO `mpt2`.`Messages` (`PlcID`, `MessageNum`, `MessageText`) VALUES ('10203', '"&amp;(2000+E4)&amp;"', '"&amp;F4&amp;" - "&amp;G4&amp;"');"</f>
        <v>INSERT INTO `mpt2`.`Messages` (`PlcID`, `MessageNum`, `MessageText`) VALUES ('10203', '2000', '41 PRC-4 - Регулирование давления в ресивере V-1');</v>
      </c>
    </row>
    <row r="5" spans="1:12" ht="11.1" customHeight="1">
      <c r="A5" s="370"/>
      <c r="B5" s="347"/>
      <c r="C5" s="6">
        <v>1</v>
      </c>
      <c r="D5" s="6">
        <v>3</v>
      </c>
      <c r="E5" s="6">
        <v>1</v>
      </c>
      <c r="F5" s="10" t="s">
        <v>102</v>
      </c>
      <c r="G5" s="10" t="s">
        <v>60</v>
      </c>
      <c r="H5" s="41" t="s">
        <v>278</v>
      </c>
      <c r="I5" s="41"/>
      <c r="J5" s="6"/>
      <c r="K5" s="295" t="str">
        <f t="shared" si="0"/>
        <v>INSERT INTO `mpt2`.`Messages` (`PlcID`, `MessageNum`, `MessageText`) VALUES ('10203', '2001', '41 LRCA-4 - регулирование уровеня п/э в отделителе выкого давления V-8');</v>
      </c>
    </row>
    <row r="6" spans="1:12" ht="11.1" customHeight="1">
      <c r="A6" s="370"/>
      <c r="B6" s="347"/>
      <c r="C6" s="6">
        <v>2</v>
      </c>
      <c r="D6" s="6">
        <v>7</v>
      </c>
      <c r="E6" s="6">
        <v>2</v>
      </c>
      <c r="F6" s="298" t="s">
        <v>106</v>
      </c>
      <c r="G6" s="10" t="s">
        <v>93</v>
      </c>
      <c r="H6" s="41" t="s">
        <v>277</v>
      </c>
      <c r="I6" s="41"/>
      <c r="J6" s="6"/>
      <c r="K6" s="295" t="str">
        <f t="shared" si="0"/>
        <v>INSERT INTO `mpt2`.`Messages` (`PlcID`, `MessageNum`, `MessageText`) VALUES ('10203', '2002', '41 TRCSA-5 - Температура стенки реактора V-7');</v>
      </c>
    </row>
    <row r="7" spans="1:12" ht="11.1" customHeight="1">
      <c r="A7" s="370"/>
      <c r="B7" s="347"/>
      <c r="C7" s="6">
        <v>3</v>
      </c>
      <c r="D7" s="6">
        <v>8</v>
      </c>
      <c r="E7" s="6">
        <v>3</v>
      </c>
      <c r="F7" s="299" t="s">
        <v>107</v>
      </c>
      <c r="G7" s="10" t="s">
        <v>62</v>
      </c>
      <c r="H7" s="41" t="s">
        <v>277</v>
      </c>
      <c r="I7" s="41"/>
      <c r="J7" s="6"/>
      <c r="K7" s="295" t="str">
        <f t="shared" si="0"/>
        <v>INSERT INTO `mpt2`.`Messages` (`PlcID`, `MessageNum`, `MessageText`) VALUES ('10203', '2003', '41 TRC-6 - Температура на выходе из продуктового холодильника E-10');</v>
      </c>
    </row>
    <row r="8" spans="1:12" ht="11.1" customHeight="1">
      <c r="A8" s="370"/>
      <c r="B8" s="347"/>
      <c r="C8" s="6">
        <v>4</v>
      </c>
      <c r="D8" s="6">
        <v>48</v>
      </c>
      <c r="E8" s="6">
        <v>4</v>
      </c>
      <c r="F8" s="297" t="s">
        <v>140</v>
      </c>
      <c r="G8" s="26" t="s">
        <v>59</v>
      </c>
      <c r="H8" s="64" t="s">
        <v>277</v>
      </c>
      <c r="I8" s="64"/>
      <c r="J8" s="165"/>
      <c r="K8" s="295" t="str">
        <f t="shared" si="0"/>
        <v>INSERT INTO `mpt2`.`Messages` (`PlcID`, `MessageNum`, `MessageText`) VALUES ('10203', '2004', '42 PRC-4 - Регулирование давления в ресивере V-1');</v>
      </c>
    </row>
    <row r="9" spans="1:12" ht="11.1" customHeight="1">
      <c r="A9" s="370"/>
      <c r="B9" s="347"/>
      <c r="C9" s="6">
        <v>5</v>
      </c>
      <c r="D9" s="6">
        <v>51</v>
      </c>
      <c r="E9" s="6">
        <v>5</v>
      </c>
      <c r="F9" s="10" t="s">
        <v>143</v>
      </c>
      <c r="G9" s="10" t="s">
        <v>60</v>
      </c>
      <c r="H9" s="41" t="s">
        <v>278</v>
      </c>
      <c r="I9" s="41"/>
      <c r="J9" s="6"/>
      <c r="K9" s="295" t="str">
        <f t="shared" si="0"/>
        <v>INSERT INTO `mpt2`.`Messages` (`PlcID`, `MessageNum`, `MessageText`) VALUES ('10203', '2005', '42 LRCA-4 - регулирование уровеня п/э в отделителе выкого давления V-8');</v>
      </c>
    </row>
    <row r="10" spans="1:12" ht="11.1" customHeight="1">
      <c r="A10" s="370"/>
      <c r="B10" s="347"/>
      <c r="C10" s="6">
        <v>6</v>
      </c>
      <c r="D10" s="6">
        <v>55</v>
      </c>
      <c r="E10" s="6">
        <v>6</v>
      </c>
      <c r="F10" s="298" t="s">
        <v>148</v>
      </c>
      <c r="G10" s="10" t="s">
        <v>93</v>
      </c>
      <c r="H10" s="41" t="s">
        <v>277</v>
      </c>
      <c r="I10" s="41"/>
      <c r="J10" s="6"/>
      <c r="K10" s="295" t="str">
        <f t="shared" si="0"/>
        <v>INSERT INTO `mpt2`.`Messages` (`PlcID`, `MessageNum`, `MessageText`) VALUES ('10203', '2006', '42 TRCSA-5 - Температура стенки реактора V-7');</v>
      </c>
    </row>
    <row r="11" spans="1:12" ht="11.1" customHeight="1" thickBot="1">
      <c r="A11" s="371"/>
      <c r="B11" s="416"/>
      <c r="C11" s="14">
        <v>7</v>
      </c>
      <c r="D11" s="39">
        <v>56</v>
      </c>
      <c r="E11" s="6">
        <v>7</v>
      </c>
      <c r="F11" s="300" t="s">
        <v>149</v>
      </c>
      <c r="G11" s="15" t="s">
        <v>62</v>
      </c>
      <c r="H11" s="41" t="s">
        <v>277</v>
      </c>
      <c r="I11" s="42"/>
      <c r="J11" s="6"/>
      <c r="K11" s="295" t="str">
        <f t="shared" si="0"/>
        <v>INSERT INTO `mpt2`.`Messages` (`PlcID`, `MessageNum`, `MessageText`) VALUES ('10203', '2007', '42 TRC-6 - Температура на выходе из продуктового холодильника E-10');</v>
      </c>
    </row>
    <row r="12" spans="1:12" ht="11.1" customHeight="1" thickTop="1">
      <c r="A12" s="369" t="s">
        <v>37</v>
      </c>
      <c r="B12" s="415" t="s">
        <v>423</v>
      </c>
      <c r="C12" s="5">
        <v>0</v>
      </c>
      <c r="D12" s="5">
        <v>96</v>
      </c>
      <c r="E12" s="5">
        <v>8</v>
      </c>
      <c r="F12" s="297" t="s">
        <v>177</v>
      </c>
      <c r="G12" s="26" t="s">
        <v>59</v>
      </c>
      <c r="H12" s="40" t="s">
        <v>277</v>
      </c>
      <c r="I12" s="64"/>
      <c r="J12" s="79"/>
      <c r="K12" s="295" t="str">
        <f t="shared" si="0"/>
        <v>INSERT INTO `mpt2`.`Messages` (`PlcID`, `MessageNum`, `MessageText`) VALUES ('10203', '2008', '43 PRC-4 - Регулирование давления в ресивере V-1');</v>
      </c>
    </row>
    <row r="13" spans="1:12" ht="11.1" customHeight="1">
      <c r="A13" s="370"/>
      <c r="B13" s="347"/>
      <c r="C13" s="6">
        <v>1</v>
      </c>
      <c r="D13" s="6">
        <v>99</v>
      </c>
      <c r="E13" s="6">
        <v>9</v>
      </c>
      <c r="F13" s="10" t="s">
        <v>180</v>
      </c>
      <c r="G13" s="10" t="s">
        <v>60</v>
      </c>
      <c r="H13" s="41" t="s">
        <v>278</v>
      </c>
      <c r="I13" s="41"/>
      <c r="J13" s="6"/>
      <c r="K13" s="295" t="str">
        <f t="shared" si="0"/>
        <v>INSERT INTO `mpt2`.`Messages` (`PlcID`, `MessageNum`, `MessageText`) VALUES ('10203', '2009', '43 LRCA-4 - регулирование уровеня п/э в отделителе выкого давления V-8');</v>
      </c>
    </row>
    <row r="14" spans="1:12" ht="11.1" customHeight="1">
      <c r="A14" s="370"/>
      <c r="B14" s="347"/>
      <c r="C14" s="6">
        <v>2</v>
      </c>
      <c r="D14" s="6">
        <v>103</v>
      </c>
      <c r="E14" s="6">
        <v>10</v>
      </c>
      <c r="F14" s="298" t="s">
        <v>183</v>
      </c>
      <c r="G14" s="10" t="s">
        <v>93</v>
      </c>
      <c r="H14" s="41" t="s">
        <v>277</v>
      </c>
      <c r="I14" s="41"/>
      <c r="J14" s="6"/>
      <c r="K14" s="295" t="str">
        <f t="shared" si="0"/>
        <v>INSERT INTO `mpt2`.`Messages` (`PlcID`, `MessageNum`, `MessageText`) VALUES ('10203', '2010', '43 TRCSA-5 - Температура стенки реактора V-7');</v>
      </c>
    </row>
    <row r="15" spans="1:12" ht="11.1" customHeight="1">
      <c r="A15" s="370"/>
      <c r="B15" s="347"/>
      <c r="C15" s="6">
        <v>3</v>
      </c>
      <c r="D15" s="6">
        <v>104</v>
      </c>
      <c r="E15" s="6">
        <v>11</v>
      </c>
      <c r="F15" s="299" t="s">
        <v>184</v>
      </c>
      <c r="G15" s="10" t="s">
        <v>62</v>
      </c>
      <c r="H15" s="41" t="s">
        <v>277</v>
      </c>
      <c r="I15" s="41"/>
      <c r="J15" s="6"/>
      <c r="K15" s="295" t="str">
        <f t="shared" si="0"/>
        <v>INSERT INTO `mpt2`.`Messages` (`PlcID`, `MessageNum`, `MessageText`) VALUES ('10203', '2011', '43 TRC-6 - Температура на выходе из продуктового холодильника E-10');</v>
      </c>
    </row>
    <row r="16" spans="1:12" ht="11.1" customHeight="1">
      <c r="A16" s="370"/>
      <c r="B16" s="347"/>
      <c r="C16" s="6">
        <v>4</v>
      </c>
      <c r="D16" s="6">
        <v>144</v>
      </c>
      <c r="E16" s="6">
        <v>12</v>
      </c>
      <c r="F16" s="297" t="s">
        <v>212</v>
      </c>
      <c r="G16" s="26" t="s">
        <v>59</v>
      </c>
      <c r="H16" s="64" t="s">
        <v>277</v>
      </c>
      <c r="I16" s="64"/>
      <c r="J16" s="165"/>
      <c r="K16" s="295" t="str">
        <f t="shared" si="0"/>
        <v>INSERT INTO `mpt2`.`Messages` (`PlcID`, `MessageNum`, `MessageText`) VALUES ('10203', '2012', '44 PRC-4 - Регулирование давления в ресивере V-1');</v>
      </c>
    </row>
    <row r="17" spans="1:11" ht="11.1" customHeight="1">
      <c r="A17" s="370"/>
      <c r="B17" s="347"/>
      <c r="C17" s="6">
        <v>5</v>
      </c>
      <c r="D17" s="6">
        <v>147</v>
      </c>
      <c r="E17" s="6">
        <v>13</v>
      </c>
      <c r="F17" s="10" t="s">
        <v>215</v>
      </c>
      <c r="G17" s="10" t="s">
        <v>60</v>
      </c>
      <c r="H17" s="41" t="s">
        <v>278</v>
      </c>
      <c r="I17" s="41"/>
      <c r="J17" s="6"/>
      <c r="K17" s="295" t="str">
        <f t="shared" si="0"/>
        <v>INSERT INTO `mpt2`.`Messages` (`PlcID`, `MessageNum`, `MessageText`) VALUES ('10203', '2013', '44 LRCA-4 - регулирование уровеня п/э в отделителе выкого давления V-8');</v>
      </c>
    </row>
    <row r="18" spans="1:11" ht="11.1" customHeight="1">
      <c r="A18" s="370"/>
      <c r="B18" s="347"/>
      <c r="C18" s="6">
        <v>6</v>
      </c>
      <c r="D18" s="6">
        <v>151</v>
      </c>
      <c r="E18" s="6">
        <v>14</v>
      </c>
      <c r="F18" s="298" t="s">
        <v>219</v>
      </c>
      <c r="G18" s="10" t="s">
        <v>93</v>
      </c>
      <c r="H18" s="41" t="s">
        <v>277</v>
      </c>
      <c r="I18" s="41"/>
      <c r="J18" s="6"/>
      <c r="K18" s="295" t="str">
        <f t="shared" si="0"/>
        <v>INSERT INTO `mpt2`.`Messages` (`PlcID`, `MessageNum`, `MessageText`) VALUES ('10203', '2014', '44 TRCSA-5 - Температура стенки реактора V-7');</v>
      </c>
    </row>
    <row r="19" spans="1:11" ht="11.1" customHeight="1" thickBot="1">
      <c r="A19" s="371"/>
      <c r="B19" s="416"/>
      <c r="C19" s="14">
        <v>7</v>
      </c>
      <c r="D19" s="39">
        <v>152</v>
      </c>
      <c r="E19" s="6">
        <v>15</v>
      </c>
      <c r="F19" s="300" t="s">
        <v>220</v>
      </c>
      <c r="G19" s="15" t="s">
        <v>62</v>
      </c>
      <c r="H19" s="41" t="s">
        <v>277</v>
      </c>
      <c r="I19" s="42"/>
      <c r="J19" s="6"/>
      <c r="K19" s="295" t="str">
        <f t="shared" si="0"/>
        <v>INSERT INTO `mpt2`.`Messages` (`PlcID`, `MessageNum`, `MessageText`) VALUES ('10203', '2015', '44 TRC-6 - Температура на выходе из продуктового холодильника E-10');</v>
      </c>
    </row>
    <row r="20" spans="1:11" ht="11.1" customHeight="1" thickTop="1"/>
    <row r="21" spans="1:11" ht="11.1" customHeight="1"/>
    <row r="22" spans="1:11" ht="11.1" customHeight="1"/>
    <row r="23" spans="1:11" ht="11.1" customHeight="1"/>
    <row r="24" spans="1:11" ht="11.1" customHeight="1"/>
    <row r="25" spans="1:11" ht="11.1" customHeight="1"/>
    <row r="26" spans="1:11" ht="11.1" customHeight="1"/>
    <row r="27" spans="1:11" ht="11.1" customHeight="1"/>
    <row r="28" spans="1:11" ht="11.1" customHeight="1"/>
    <row r="29" spans="1:11" ht="11.1" customHeight="1"/>
    <row r="30" spans="1:11" ht="11.1" customHeight="1"/>
    <row r="31" spans="1:11" ht="11.1" customHeight="1"/>
    <row r="32" spans="1:11" ht="11.1" customHeight="1"/>
    <row r="33" ht="11.1" customHeight="1"/>
    <row r="34" ht="11.1" customHeight="1"/>
    <row r="35" ht="11.1" customHeight="1"/>
    <row r="36" ht="11.1" customHeight="1"/>
    <row r="37" ht="11.1" customHeight="1"/>
    <row r="38" ht="11.1" customHeight="1"/>
    <row r="39" ht="11.1" customHeight="1"/>
    <row r="40" ht="11.1" customHeight="1"/>
    <row r="41" ht="11.1" customHeight="1"/>
    <row r="42" ht="11.1" customHeight="1"/>
    <row r="43" ht="11.1" customHeight="1"/>
    <row r="44" ht="11.1" customHeight="1"/>
    <row r="45" ht="11.1" customHeight="1"/>
    <row r="46" ht="11.1" customHeight="1"/>
    <row r="47" ht="11.1" customHeight="1"/>
    <row r="48" ht="11.1" customHeight="1"/>
    <row r="49" ht="11.1" customHeight="1"/>
    <row r="50" ht="11.1" customHeight="1"/>
    <row r="51" ht="11.1" customHeight="1"/>
    <row r="52" ht="11.1" customHeight="1"/>
    <row r="53" ht="11.1" customHeight="1"/>
    <row r="54" ht="11.1" customHeight="1"/>
    <row r="55" ht="11.1" customHeight="1"/>
    <row r="56" ht="11.1" customHeight="1"/>
    <row r="57" ht="11.1" customHeight="1"/>
    <row r="58" ht="11.1" customHeight="1"/>
    <row r="59" ht="11.1" customHeight="1"/>
    <row r="60" ht="11.1" customHeight="1"/>
    <row r="61" ht="11.1" customHeight="1"/>
    <row r="62" ht="11.1" customHeight="1"/>
    <row r="63" ht="11.1" customHeight="1"/>
    <row r="64" ht="11.1" customHeight="1"/>
    <row r="65" ht="11.1" customHeight="1"/>
    <row r="66" ht="11.1" customHeight="1"/>
    <row r="67" ht="11.1" customHeight="1"/>
    <row r="68" ht="11.1" customHeight="1"/>
    <row r="69" ht="11.1" customHeight="1"/>
    <row r="70" ht="11.1" customHeight="1"/>
    <row r="71" ht="11.1" customHeight="1"/>
    <row r="72" ht="11.1" customHeight="1"/>
    <row r="73" ht="11.1" customHeight="1"/>
    <row r="74" ht="11.1" customHeight="1"/>
    <row r="75" ht="11.1" customHeight="1"/>
    <row r="76" ht="11.1" customHeight="1"/>
    <row r="77" ht="11.1" customHeight="1"/>
    <row r="78" ht="11.1" customHeight="1"/>
    <row r="79" ht="11.1" customHeight="1"/>
    <row r="80" ht="11.1" customHeight="1"/>
    <row r="81" ht="11.1" customHeight="1"/>
    <row r="82" ht="11.1" customHeight="1"/>
    <row r="83" ht="11.1" customHeight="1"/>
    <row r="84" ht="11.1" customHeight="1"/>
    <row r="85" ht="11.1" customHeight="1"/>
    <row r="86" ht="11.1" customHeight="1"/>
    <row r="87" ht="11.1" customHeight="1"/>
    <row r="88" ht="11.1" customHeight="1"/>
    <row r="89" ht="11.1" customHeight="1"/>
    <row r="90" ht="11.1" customHeight="1"/>
    <row r="91" ht="11.1" customHeight="1"/>
    <row r="92" ht="11.1" customHeight="1"/>
    <row r="93" ht="11.1" customHeight="1"/>
    <row r="94" ht="11.1" customHeight="1"/>
    <row r="95" ht="11.1" customHeight="1"/>
    <row r="96" ht="11.1" customHeight="1"/>
    <row r="97" ht="11.1" customHeight="1"/>
    <row r="98" ht="11.1" customHeight="1"/>
    <row r="99" ht="11.1" customHeight="1"/>
    <row r="100" ht="11.1" customHeight="1"/>
    <row r="101" ht="11.1" customHeight="1"/>
    <row r="102" ht="11.1" customHeight="1"/>
    <row r="103" ht="11.1" customHeight="1"/>
    <row r="104" ht="11.1" customHeight="1"/>
    <row r="105" ht="11.1" customHeight="1"/>
    <row r="106" ht="11.1" customHeight="1"/>
    <row r="107" ht="11.1" customHeight="1"/>
    <row r="108" ht="11.1" customHeight="1"/>
    <row r="109" ht="11.1" customHeight="1"/>
    <row r="110" ht="11.1" customHeight="1"/>
    <row r="111" ht="11.1" customHeight="1"/>
    <row r="112" ht="11.1" customHeight="1"/>
    <row r="113" ht="11.1" customHeight="1"/>
    <row r="114" ht="11.1" customHeight="1"/>
    <row r="115" ht="11.1" customHeight="1"/>
    <row r="116" ht="11.1" customHeight="1"/>
    <row r="117" ht="11.1" customHeight="1"/>
    <row r="118" ht="11.1" customHeight="1"/>
    <row r="119" ht="11.1" customHeight="1"/>
    <row r="120" ht="11.1" customHeight="1"/>
    <row r="121" ht="11.1" customHeight="1"/>
    <row r="122" ht="11.1" customHeight="1"/>
    <row r="123" ht="11.1" customHeight="1"/>
    <row r="124" ht="11.1" customHeight="1"/>
    <row r="125" ht="11.1" customHeight="1"/>
    <row r="126" ht="11.1" customHeight="1"/>
    <row r="127" ht="11.1" customHeight="1"/>
    <row r="128" ht="11.1" customHeight="1"/>
    <row r="129" ht="11.1" customHeight="1"/>
    <row r="130" ht="11.1" customHeight="1"/>
    <row r="131" ht="11.1" customHeight="1"/>
    <row r="132" ht="11.1" customHeight="1"/>
    <row r="133" ht="11.1" customHeight="1"/>
    <row r="134" ht="11.1" customHeight="1"/>
    <row r="135" ht="11.1" customHeight="1"/>
    <row r="136" ht="11.1" customHeight="1"/>
    <row r="137" ht="11.1" customHeight="1"/>
    <row r="138" ht="11.1" customHeight="1"/>
    <row r="139" ht="11.1" customHeight="1"/>
    <row r="140" ht="11.1" customHeight="1"/>
    <row r="141" ht="11.1" customHeight="1"/>
    <row r="142" ht="11.1" customHeight="1"/>
    <row r="143" ht="11.1" customHeight="1"/>
    <row r="144" ht="11.1" customHeight="1"/>
    <row r="145" ht="11.1" customHeight="1"/>
    <row r="146" ht="11.1" customHeight="1"/>
    <row r="147" ht="11.1" customHeight="1"/>
    <row r="148" ht="11.1" customHeight="1"/>
    <row r="149" ht="11.1" customHeight="1"/>
    <row r="150" ht="11.1" customHeight="1"/>
    <row r="151" ht="11.1" customHeight="1"/>
    <row r="152" ht="11.1" customHeight="1"/>
    <row r="153" ht="11.1" customHeight="1"/>
    <row r="154" ht="11.1" customHeight="1"/>
    <row r="155" ht="11.1" customHeight="1"/>
    <row r="156" ht="11.1" customHeight="1"/>
    <row r="157" ht="11.1" customHeight="1"/>
    <row r="158" ht="11.1" customHeight="1"/>
    <row r="159" ht="11.1" customHeight="1"/>
    <row r="160" ht="11.1" customHeight="1"/>
    <row r="161" ht="11.1" customHeight="1"/>
    <row r="162" ht="11.1" customHeight="1"/>
    <row r="163" ht="11.1" customHeight="1"/>
    <row r="164" ht="11.1" customHeight="1"/>
    <row r="165" ht="11.1" customHeight="1"/>
    <row r="166" ht="11.1" customHeight="1"/>
    <row r="167" ht="11.1" customHeight="1"/>
    <row r="168" ht="11.1" customHeight="1"/>
    <row r="169" ht="11.1" customHeight="1"/>
    <row r="170" ht="11.1" customHeight="1"/>
    <row r="171" ht="11.1" customHeight="1"/>
    <row r="172" ht="11.1" customHeight="1"/>
    <row r="173" ht="11.1" customHeight="1"/>
    <row r="174" ht="11.1" customHeight="1"/>
    <row r="175" ht="11.1" customHeight="1"/>
    <row r="176" ht="11.1" customHeight="1"/>
    <row r="177" ht="11.1" customHeight="1"/>
    <row r="178" ht="11.1" customHeight="1"/>
    <row r="179" ht="11.1" customHeight="1"/>
    <row r="180" ht="11.1" customHeight="1"/>
    <row r="181" ht="11.1" customHeight="1"/>
    <row r="182" ht="11.1" customHeight="1"/>
    <row r="183" ht="11.1" customHeight="1"/>
    <row r="184" ht="11.1" customHeight="1"/>
    <row r="185" ht="11.1" customHeight="1"/>
    <row r="186" ht="11.1" customHeight="1"/>
    <row r="187" ht="11.1" customHeight="1"/>
    <row r="188" ht="11.1" customHeight="1"/>
    <row r="189" ht="11.1" customHeight="1"/>
    <row r="190" ht="11.1" customHeight="1"/>
    <row r="191" ht="11.1" customHeight="1"/>
    <row r="192" ht="11.1" customHeight="1"/>
    <row r="193" ht="11.1" customHeight="1"/>
    <row r="194" ht="11.1" customHeight="1"/>
    <row r="195" ht="11.1" customHeight="1"/>
    <row r="196" ht="11.1" customHeight="1"/>
    <row r="197" ht="11.1" customHeight="1"/>
    <row r="198" ht="11.1" customHeight="1"/>
    <row r="199" ht="11.1" customHeight="1"/>
    <row r="200" ht="11.1" customHeight="1"/>
    <row r="201" ht="11.1" customHeight="1"/>
    <row r="202" ht="11.1" customHeight="1"/>
    <row r="203" ht="11.1" customHeight="1"/>
    <row r="204" ht="11.1" customHeight="1"/>
    <row r="205" ht="11.1" customHeight="1"/>
    <row r="206" ht="11.1" customHeight="1"/>
    <row r="207" ht="11.1" customHeight="1"/>
    <row r="208" ht="11.1" customHeight="1"/>
    <row r="209" ht="11.1" customHeight="1"/>
    <row r="210" ht="11.1" customHeight="1"/>
    <row r="211" ht="11.1" customHeight="1"/>
    <row r="212" ht="11.1" customHeight="1"/>
    <row r="213" ht="11.1" customHeight="1"/>
    <row r="214" ht="11.1" customHeight="1"/>
    <row r="215" ht="11.1" customHeight="1"/>
    <row r="216" ht="11.1" customHeight="1"/>
    <row r="217" ht="11.1" customHeight="1"/>
    <row r="218" ht="11.1" customHeight="1"/>
    <row r="219" ht="11.1" customHeight="1"/>
    <row r="220" ht="11.1" customHeight="1"/>
    <row r="221" ht="11.1" customHeight="1"/>
    <row r="222" ht="11.1" customHeight="1"/>
    <row r="223" ht="11.1" customHeight="1"/>
    <row r="224" ht="11.1" customHeight="1"/>
    <row r="225" ht="11.1" customHeight="1"/>
    <row r="226" ht="11.1" customHeight="1"/>
    <row r="227" ht="11.1" customHeight="1"/>
  </sheetData>
  <mergeCells count="14">
    <mergeCell ref="B4:B11"/>
    <mergeCell ref="B12:B19"/>
    <mergeCell ref="A4:A11"/>
    <mergeCell ref="A12:A19"/>
    <mergeCell ref="A1:L1"/>
    <mergeCell ref="J2:J3"/>
    <mergeCell ref="H2:H3"/>
    <mergeCell ref="F2:F3"/>
    <mergeCell ref="G2:G3"/>
    <mergeCell ref="E2:E3"/>
    <mergeCell ref="I2:I3"/>
    <mergeCell ref="D2:D3"/>
    <mergeCell ref="A2:B3"/>
    <mergeCell ref="C2:C3"/>
  </mergeCells>
  <phoneticPr fontId="3" type="noConversion"/>
  <printOptions horizontalCentered="1" verticalCentered="1"/>
  <pageMargins left="0" right="0" top="0" bottom="0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view="pageBreakPreview" topLeftCell="B1" zoomScale="130" zoomScaleNormal="115" zoomScaleSheetLayoutView="130" workbookViewId="0">
      <selection activeCell="L3" sqref="L3:L12"/>
    </sheetView>
  </sheetViews>
  <sheetFormatPr defaultRowHeight="11.1" customHeight="1"/>
  <cols>
    <col min="1" max="1" width="3" style="20" customWidth="1"/>
    <col min="2" max="2" width="3.140625" style="20" customWidth="1"/>
    <col min="3" max="3" width="4.28515625" style="20" customWidth="1"/>
    <col min="4" max="4" width="5" style="20" customWidth="1"/>
    <col min="5" max="5" width="14.140625" style="21" customWidth="1"/>
    <col min="6" max="7" width="29" style="21" customWidth="1"/>
    <col min="8" max="8" width="4.28515625" style="20" customWidth="1"/>
    <col min="9" max="10" width="9.85546875" style="20" customWidth="1"/>
    <col min="11" max="11" width="42.28515625" style="20" customWidth="1"/>
    <col min="12" max="16384" width="9.140625" style="20"/>
  </cols>
  <sheetData>
    <row r="1" spans="1:12" ht="20.25" customHeight="1" thickBot="1">
      <c r="A1" s="43"/>
      <c r="B1" s="43"/>
      <c r="C1" s="43"/>
      <c r="D1" s="43"/>
      <c r="E1" s="433" t="s">
        <v>40</v>
      </c>
      <c r="F1" s="433"/>
      <c r="G1" s="433"/>
      <c r="H1" s="433"/>
      <c r="I1" s="43"/>
      <c r="J1" s="43"/>
      <c r="K1" s="43"/>
    </row>
    <row r="2" spans="1:12" s="173" customFormat="1" ht="52.5" customHeight="1" thickBot="1">
      <c r="A2" s="418" t="s">
        <v>0</v>
      </c>
      <c r="B2" s="418"/>
      <c r="C2" s="171" t="s">
        <v>1</v>
      </c>
      <c r="D2" s="171" t="s">
        <v>43</v>
      </c>
      <c r="E2" s="172" t="s">
        <v>2</v>
      </c>
      <c r="F2" s="172" t="s">
        <v>33</v>
      </c>
      <c r="G2" s="172" t="s">
        <v>9</v>
      </c>
      <c r="H2" s="171" t="s">
        <v>13</v>
      </c>
      <c r="I2" s="172" t="s">
        <v>32</v>
      </c>
      <c r="J2" s="172" t="s">
        <v>44</v>
      </c>
      <c r="K2" s="172" t="s">
        <v>12</v>
      </c>
    </row>
    <row r="3" spans="1:12" ht="11.1" customHeight="1" thickTop="1">
      <c r="A3" s="427" t="s">
        <v>18</v>
      </c>
      <c r="B3" s="430" t="s">
        <v>293</v>
      </c>
      <c r="C3" s="44">
        <v>0</v>
      </c>
      <c r="D3" s="44">
        <v>0</v>
      </c>
      <c r="E3" s="49" t="s">
        <v>14</v>
      </c>
      <c r="F3" s="49" t="s">
        <v>15</v>
      </c>
      <c r="G3" s="49"/>
      <c r="H3" s="44">
        <v>0</v>
      </c>
      <c r="I3" s="44">
        <v>0</v>
      </c>
      <c r="J3" s="44"/>
      <c r="K3" s="66"/>
      <c r="L3" s="295" t="str">
        <f t="shared" ref="L3:L12" si="0">"INSERT INTO `mpt2`.`Messages` (`PlcID`, `MessageNum`, `MessageText`) VALUES ('10203', '"&amp;(3000+D3)&amp;"', '"&amp;E3&amp;" - "&amp;F3&amp;"');"</f>
        <v>INSERT INTO `mpt2`.`Messages` (`PlcID`, `MessageNum`, `MessageText`) VALUES ('10203', '3000', 'SB1 - Кнопка опробования сигнализации (КОС)');</v>
      </c>
    </row>
    <row r="4" spans="1:12" ht="11.1" customHeight="1">
      <c r="A4" s="428"/>
      <c r="B4" s="431"/>
      <c r="C4" s="45">
        <v>1</v>
      </c>
      <c r="D4" s="45">
        <v>1</v>
      </c>
      <c r="E4" s="46" t="s">
        <v>16</v>
      </c>
      <c r="F4" s="46" t="s">
        <v>17</v>
      </c>
      <c r="G4" s="46"/>
      <c r="H4" s="45">
        <v>0</v>
      </c>
      <c r="I4" s="45">
        <v>0</v>
      </c>
      <c r="J4" s="45"/>
      <c r="K4" s="67"/>
      <c r="L4" s="295" t="str">
        <f t="shared" si="0"/>
        <v>INSERT INTO `mpt2`.`Messages` (`PlcID`, `MessageNum`, `MessageText`) VALUES ('10203', '3001', 'SB2 - Кнопка снятия сигнализации (КСС)');</v>
      </c>
    </row>
    <row r="5" spans="1:12" ht="11.1" customHeight="1">
      <c r="A5" s="428"/>
      <c r="B5" s="431"/>
      <c r="C5" s="45">
        <v>2</v>
      </c>
      <c r="D5" s="45">
        <v>2</v>
      </c>
      <c r="E5" s="46" t="s">
        <v>19</v>
      </c>
      <c r="F5" s="46" t="s">
        <v>20</v>
      </c>
      <c r="G5" s="46" t="s">
        <v>38</v>
      </c>
      <c r="H5" s="45">
        <v>1</v>
      </c>
      <c r="I5" s="45">
        <v>1</v>
      </c>
      <c r="J5" s="45"/>
      <c r="K5" s="68"/>
      <c r="L5" s="295" t="str">
        <f t="shared" si="0"/>
        <v>INSERT INTO `mpt2`.`Messages` (`PlcID`, `MessageNum`, `MessageText`) VALUES ('10203', '3002', 'UPS-1 - Контроль напряжения на входе UPS-1');</v>
      </c>
    </row>
    <row r="6" spans="1:12" ht="11.1" customHeight="1">
      <c r="A6" s="428"/>
      <c r="B6" s="431"/>
      <c r="C6" s="45">
        <v>3</v>
      </c>
      <c r="D6" s="45">
        <v>3</v>
      </c>
      <c r="E6" s="46" t="s">
        <v>21</v>
      </c>
      <c r="F6" s="46" t="s">
        <v>22</v>
      </c>
      <c r="G6" s="46" t="s">
        <v>39</v>
      </c>
      <c r="H6" s="45">
        <v>1</v>
      </c>
      <c r="I6" s="45">
        <v>1</v>
      </c>
      <c r="J6" s="45"/>
      <c r="K6" s="68"/>
      <c r="L6" s="295" t="str">
        <f t="shared" si="0"/>
        <v>INSERT INTO `mpt2`.`Messages` (`PlcID`, `MessageNum`, `MessageText`) VALUES ('10203', '3003', 'UPS-2 - Контроль напряжения на входе UPS-2');</v>
      </c>
    </row>
    <row r="7" spans="1:12" ht="11.1" customHeight="1">
      <c r="A7" s="428"/>
      <c r="B7" s="431"/>
      <c r="C7" s="45">
        <v>4</v>
      </c>
      <c r="D7" s="45">
        <v>4</v>
      </c>
      <c r="E7" s="46" t="s">
        <v>264</v>
      </c>
      <c r="F7" s="46" t="s">
        <v>265</v>
      </c>
      <c r="G7" s="46" t="s">
        <v>296</v>
      </c>
      <c r="H7" s="45">
        <v>1</v>
      </c>
      <c r="I7" s="45">
        <v>1</v>
      </c>
      <c r="J7" s="45"/>
      <c r="K7" s="68"/>
      <c r="L7" s="295" t="str">
        <f t="shared" si="0"/>
        <v>INSERT INTO `mpt2`.`Messages` (`PlcID`, `MessageNum`, `MessageText`) VALUES ('10203', '3004', 'G6 PA75R-1_1 - Контроль блока питания PA-75R-1_BP1');</v>
      </c>
    </row>
    <row r="8" spans="1:12" ht="11.1" customHeight="1">
      <c r="A8" s="428"/>
      <c r="B8" s="431"/>
      <c r="C8" s="45">
        <v>5</v>
      </c>
      <c r="D8" s="45">
        <v>5</v>
      </c>
      <c r="E8" s="46" t="s">
        <v>266</v>
      </c>
      <c r="F8" s="46" t="s">
        <v>267</v>
      </c>
      <c r="G8" s="46" t="s">
        <v>297</v>
      </c>
      <c r="H8" s="45">
        <v>1</v>
      </c>
      <c r="I8" s="45">
        <v>1</v>
      </c>
      <c r="J8" s="45"/>
      <c r="K8" s="68"/>
      <c r="L8" s="295" t="str">
        <f t="shared" si="0"/>
        <v>INSERT INTO `mpt2`.`Messages` (`PlcID`, `MessageNum`, `MessageText`) VALUES ('10203', '3005', 'G8 PA75R-1_2 - Контроль блока питания PA-75R-1_BP2');</v>
      </c>
    </row>
    <row r="9" spans="1:12" ht="11.1" customHeight="1">
      <c r="A9" s="428"/>
      <c r="B9" s="431"/>
      <c r="C9" s="45">
        <v>6</v>
      </c>
      <c r="D9" s="45">
        <v>6</v>
      </c>
      <c r="E9" s="72" t="s">
        <v>269</v>
      </c>
      <c r="F9" s="46" t="s">
        <v>270</v>
      </c>
      <c r="G9" s="46" t="s">
        <v>298</v>
      </c>
      <c r="H9" s="181">
        <v>1</v>
      </c>
      <c r="I9" s="181">
        <v>1</v>
      </c>
      <c r="J9" s="80"/>
      <c r="K9" s="81"/>
      <c r="L9" s="295" t="str">
        <f t="shared" si="0"/>
        <v>INSERT INTO `mpt2`.`Messages` (`PlcID`, `MessageNum`, `MessageText`) VALUES ('10203', '3006', 'G7 PA75R-2_1 - Контроль блока питания PA-75R-2_BP1');</v>
      </c>
    </row>
    <row r="10" spans="1:12" ht="11.1" customHeight="1">
      <c r="A10" s="428"/>
      <c r="B10" s="431"/>
      <c r="C10" s="45">
        <v>7</v>
      </c>
      <c r="D10" s="45">
        <v>7</v>
      </c>
      <c r="E10" s="72" t="s">
        <v>268</v>
      </c>
      <c r="F10" s="46" t="s">
        <v>271</v>
      </c>
      <c r="G10" s="46" t="s">
        <v>299</v>
      </c>
      <c r="H10" s="181">
        <v>1</v>
      </c>
      <c r="I10" s="181">
        <v>1</v>
      </c>
      <c r="J10" s="80"/>
      <c r="K10" s="81"/>
      <c r="L10" s="295" t="str">
        <f t="shared" si="0"/>
        <v>INSERT INTO `mpt2`.`Messages` (`PlcID`, `MessageNum`, `MessageText`) VALUES ('10203', '3007', 'G9 PA75R-2_2 - Контроль блока питания PA-75R-2_BP2');</v>
      </c>
    </row>
    <row r="11" spans="1:12" ht="11.1" customHeight="1">
      <c r="A11" s="428"/>
      <c r="B11" s="431"/>
      <c r="C11" s="45">
        <v>8</v>
      </c>
      <c r="D11" s="45">
        <v>8</v>
      </c>
      <c r="E11" s="72" t="s">
        <v>261</v>
      </c>
      <c r="F11" s="72" t="s">
        <v>300</v>
      </c>
      <c r="G11" s="72" t="s">
        <v>272</v>
      </c>
      <c r="H11" s="45">
        <v>1</v>
      </c>
      <c r="I11" s="45">
        <v>1</v>
      </c>
      <c r="J11" s="45"/>
      <c r="K11" s="65"/>
      <c r="L11" s="295" t="str">
        <f t="shared" si="0"/>
        <v>INSERT INTO `mpt2`.`Messages` (`PlcID`, `MessageNum`, `MessageText`) VALUES ('10203', '3008', 'G5-1 - Контроль блока питания G-3 БП 24В-1');</v>
      </c>
    </row>
    <row r="12" spans="1:12" ht="11.1" customHeight="1">
      <c r="A12" s="428"/>
      <c r="B12" s="431"/>
      <c r="C12" s="45">
        <v>9</v>
      </c>
      <c r="D12" s="45">
        <v>9</v>
      </c>
      <c r="E12" s="46" t="s">
        <v>262</v>
      </c>
      <c r="F12" s="72" t="s">
        <v>301</v>
      </c>
      <c r="G12" s="72" t="s">
        <v>273</v>
      </c>
      <c r="H12" s="45">
        <v>1</v>
      </c>
      <c r="I12" s="45">
        <v>1</v>
      </c>
      <c r="J12" s="45"/>
      <c r="K12" s="45"/>
      <c r="L12" s="295" t="str">
        <f t="shared" si="0"/>
        <v>INSERT INTO `mpt2`.`Messages` (`PlcID`, `MessageNum`, `MessageText`) VALUES ('10203', '3009', 'G5-2 - Контроль блока питания G-4 БП 24В-1');</v>
      </c>
    </row>
    <row r="13" spans="1:12" ht="11.1" customHeight="1">
      <c r="A13" s="428"/>
      <c r="B13" s="431"/>
      <c r="C13" s="45">
        <v>10</v>
      </c>
      <c r="D13" s="45">
        <v>10</v>
      </c>
      <c r="E13" s="46"/>
      <c r="F13" s="46"/>
      <c r="G13" s="46"/>
      <c r="H13" s="45"/>
      <c r="I13" s="45"/>
      <c r="J13" s="45"/>
      <c r="K13" s="45"/>
    </row>
    <row r="14" spans="1:12" ht="11.1" customHeight="1">
      <c r="A14" s="428"/>
      <c r="B14" s="431"/>
      <c r="C14" s="45">
        <v>11</v>
      </c>
      <c r="D14" s="45">
        <v>11</v>
      </c>
      <c r="E14" s="46"/>
      <c r="F14" s="46"/>
      <c r="G14" s="46"/>
      <c r="H14" s="45"/>
      <c r="I14" s="45"/>
      <c r="J14" s="45"/>
      <c r="K14" s="45"/>
    </row>
    <row r="15" spans="1:12" ht="11.1" customHeight="1">
      <c r="A15" s="428"/>
      <c r="B15" s="431"/>
      <c r="C15" s="45">
        <v>12</v>
      </c>
      <c r="D15" s="45">
        <v>12</v>
      </c>
      <c r="E15" s="46"/>
      <c r="F15" s="46"/>
      <c r="G15" s="46"/>
      <c r="H15" s="45"/>
      <c r="I15" s="45"/>
      <c r="J15" s="45"/>
      <c r="K15" s="45"/>
    </row>
    <row r="16" spans="1:12" ht="11.1" customHeight="1">
      <c r="A16" s="428"/>
      <c r="B16" s="431"/>
      <c r="C16" s="45">
        <v>13</v>
      </c>
      <c r="D16" s="45">
        <v>13</v>
      </c>
      <c r="E16" s="46"/>
      <c r="F16" s="46"/>
      <c r="G16" s="46"/>
      <c r="H16" s="45"/>
      <c r="I16" s="45"/>
      <c r="J16" s="45"/>
      <c r="K16" s="45"/>
    </row>
    <row r="17" spans="1:11" ht="11.1" customHeight="1">
      <c r="A17" s="428"/>
      <c r="B17" s="431"/>
      <c r="C17" s="45">
        <v>14</v>
      </c>
      <c r="D17" s="45">
        <v>14</v>
      </c>
      <c r="E17" s="46"/>
      <c r="F17" s="46"/>
      <c r="G17" s="46"/>
      <c r="H17" s="45"/>
      <c r="I17" s="45"/>
      <c r="J17" s="45"/>
      <c r="K17" s="45"/>
    </row>
    <row r="18" spans="1:11" ht="11.1" customHeight="1">
      <c r="A18" s="428"/>
      <c r="B18" s="431"/>
      <c r="C18" s="45">
        <v>15</v>
      </c>
      <c r="D18" s="45">
        <v>15</v>
      </c>
      <c r="E18" s="46"/>
      <c r="F18" s="46"/>
      <c r="G18" s="46"/>
      <c r="H18" s="45"/>
      <c r="I18" s="45"/>
      <c r="J18" s="45"/>
      <c r="K18" s="45"/>
    </row>
    <row r="19" spans="1:11" ht="11.1" customHeight="1">
      <c r="A19" s="428"/>
      <c r="B19" s="431"/>
      <c r="C19" s="45">
        <v>16</v>
      </c>
      <c r="D19" s="45">
        <v>16</v>
      </c>
      <c r="E19" s="46"/>
      <c r="F19" s="46"/>
      <c r="G19" s="46"/>
      <c r="H19" s="45"/>
      <c r="I19" s="45"/>
      <c r="J19" s="45"/>
      <c r="K19" s="45"/>
    </row>
    <row r="20" spans="1:11" ht="11.1" customHeight="1">
      <c r="A20" s="428"/>
      <c r="B20" s="431"/>
      <c r="C20" s="45">
        <v>17</v>
      </c>
      <c r="D20" s="45">
        <v>17</v>
      </c>
      <c r="E20" s="46"/>
      <c r="F20" s="46"/>
      <c r="G20" s="46"/>
      <c r="H20" s="45"/>
      <c r="I20" s="45"/>
      <c r="J20" s="45"/>
      <c r="K20" s="45"/>
    </row>
    <row r="21" spans="1:11" ht="11.1" customHeight="1">
      <c r="A21" s="428"/>
      <c r="B21" s="431"/>
      <c r="C21" s="45">
        <v>18</v>
      </c>
      <c r="D21" s="45">
        <v>18</v>
      </c>
      <c r="E21" s="46"/>
      <c r="F21" s="46"/>
      <c r="G21" s="46"/>
      <c r="H21" s="45"/>
      <c r="I21" s="45"/>
      <c r="J21" s="45"/>
      <c r="K21" s="45"/>
    </row>
    <row r="22" spans="1:11" ht="11.1" customHeight="1">
      <c r="A22" s="428"/>
      <c r="B22" s="431"/>
      <c r="C22" s="45">
        <v>19</v>
      </c>
      <c r="D22" s="45">
        <v>19</v>
      </c>
      <c r="E22" s="46"/>
      <c r="F22" s="46"/>
      <c r="G22" s="46"/>
      <c r="H22" s="45"/>
      <c r="I22" s="45"/>
      <c r="J22" s="45"/>
      <c r="K22" s="45"/>
    </row>
    <row r="23" spans="1:11" ht="11.1" customHeight="1">
      <c r="A23" s="428"/>
      <c r="B23" s="431"/>
      <c r="C23" s="45">
        <v>20</v>
      </c>
      <c r="D23" s="45">
        <v>20</v>
      </c>
      <c r="E23" s="46"/>
      <c r="F23" s="46"/>
      <c r="G23" s="46"/>
      <c r="H23" s="45"/>
      <c r="I23" s="45"/>
      <c r="J23" s="45"/>
      <c r="K23" s="45"/>
    </row>
    <row r="24" spans="1:11" ht="11.1" customHeight="1">
      <c r="A24" s="428"/>
      <c r="B24" s="431"/>
      <c r="C24" s="45">
        <v>21</v>
      </c>
      <c r="D24" s="45">
        <v>21</v>
      </c>
      <c r="E24" s="46"/>
      <c r="F24" s="46"/>
      <c r="G24" s="46"/>
      <c r="H24" s="45"/>
      <c r="I24" s="45"/>
      <c r="J24" s="45"/>
      <c r="K24" s="45"/>
    </row>
    <row r="25" spans="1:11" ht="11.1" customHeight="1">
      <c r="A25" s="428"/>
      <c r="B25" s="431"/>
      <c r="C25" s="45">
        <v>22</v>
      </c>
      <c r="D25" s="45">
        <v>22</v>
      </c>
      <c r="E25" s="46"/>
      <c r="F25" s="46"/>
      <c r="G25" s="46"/>
      <c r="H25" s="45"/>
      <c r="I25" s="45"/>
      <c r="J25" s="45"/>
      <c r="K25" s="45"/>
    </row>
    <row r="26" spans="1:11" ht="11.1" customHeight="1">
      <c r="A26" s="428"/>
      <c r="B26" s="431"/>
      <c r="C26" s="45">
        <v>23</v>
      </c>
      <c r="D26" s="45">
        <v>23</v>
      </c>
      <c r="E26" s="46"/>
      <c r="F26" s="46"/>
      <c r="G26" s="46"/>
      <c r="H26" s="45"/>
      <c r="I26" s="45"/>
      <c r="J26" s="45"/>
      <c r="K26" s="45"/>
    </row>
    <row r="27" spans="1:11" ht="11.1" customHeight="1">
      <c r="A27" s="428"/>
      <c r="B27" s="431"/>
      <c r="C27" s="45">
        <v>24</v>
      </c>
      <c r="D27" s="45">
        <v>24</v>
      </c>
      <c r="E27" s="46"/>
      <c r="F27" s="46"/>
      <c r="G27" s="46"/>
      <c r="H27" s="45"/>
      <c r="I27" s="45"/>
      <c r="J27" s="45"/>
      <c r="K27" s="45"/>
    </row>
    <row r="28" spans="1:11" ht="11.1" customHeight="1">
      <c r="A28" s="428"/>
      <c r="B28" s="431"/>
      <c r="C28" s="45">
        <v>25</v>
      </c>
      <c r="D28" s="45">
        <v>25</v>
      </c>
      <c r="E28" s="46"/>
      <c r="F28" s="166"/>
      <c r="G28" s="46"/>
      <c r="H28" s="45"/>
      <c r="I28" s="45"/>
      <c r="J28" s="45"/>
      <c r="K28" s="45"/>
    </row>
    <row r="29" spans="1:11" ht="11.1" customHeight="1">
      <c r="A29" s="428"/>
      <c r="B29" s="431"/>
      <c r="C29" s="45">
        <v>26</v>
      </c>
      <c r="D29" s="45">
        <v>26</v>
      </c>
      <c r="E29" s="46"/>
      <c r="F29" s="46"/>
      <c r="G29" s="46"/>
      <c r="H29" s="45"/>
      <c r="I29" s="45"/>
      <c r="J29" s="45"/>
      <c r="K29" s="45"/>
    </row>
    <row r="30" spans="1:11" ht="11.1" customHeight="1">
      <c r="A30" s="428"/>
      <c r="B30" s="431"/>
      <c r="C30" s="45">
        <v>27</v>
      </c>
      <c r="D30" s="45">
        <v>27</v>
      </c>
      <c r="E30" s="46"/>
      <c r="F30" s="46"/>
      <c r="G30" s="46"/>
      <c r="H30" s="45"/>
      <c r="I30" s="45"/>
      <c r="J30" s="45"/>
      <c r="K30" s="45"/>
    </row>
    <row r="31" spans="1:11" ht="11.1" customHeight="1">
      <c r="A31" s="428"/>
      <c r="B31" s="431"/>
      <c r="C31" s="45">
        <v>28</v>
      </c>
      <c r="D31" s="45">
        <v>28</v>
      </c>
      <c r="E31" s="46"/>
      <c r="F31" s="46"/>
      <c r="G31" s="46"/>
      <c r="H31" s="45"/>
      <c r="I31" s="45"/>
      <c r="J31" s="45"/>
      <c r="K31" s="45"/>
    </row>
    <row r="32" spans="1:11" ht="11.1" customHeight="1">
      <c r="A32" s="428"/>
      <c r="B32" s="431"/>
      <c r="C32" s="45">
        <v>29</v>
      </c>
      <c r="D32" s="45">
        <v>29</v>
      </c>
      <c r="E32" s="46"/>
      <c r="F32" s="46"/>
      <c r="G32" s="46"/>
      <c r="H32" s="45"/>
      <c r="I32" s="45"/>
      <c r="J32" s="45"/>
      <c r="K32" s="45"/>
    </row>
    <row r="33" spans="1:11" ht="11.1" customHeight="1">
      <c r="A33" s="428"/>
      <c r="B33" s="431"/>
      <c r="C33" s="45">
        <v>30</v>
      </c>
      <c r="D33" s="45">
        <v>30</v>
      </c>
      <c r="E33" s="46"/>
      <c r="F33" s="46"/>
      <c r="G33" s="46"/>
      <c r="H33" s="45"/>
      <c r="I33" s="45"/>
      <c r="J33" s="45"/>
      <c r="K33" s="45"/>
    </row>
    <row r="34" spans="1:11" ht="11.1" customHeight="1" thickBot="1">
      <c r="A34" s="429"/>
      <c r="B34" s="432"/>
      <c r="C34" s="48">
        <v>31</v>
      </c>
      <c r="D34" s="48">
        <v>31</v>
      </c>
      <c r="E34" s="47"/>
      <c r="F34" s="47"/>
      <c r="G34" s="47"/>
      <c r="H34" s="48"/>
      <c r="I34" s="48"/>
      <c r="J34" s="48"/>
      <c r="K34" s="48"/>
    </row>
    <row r="35" spans="1:11" ht="11.1" customHeight="1" thickTop="1"/>
  </sheetData>
  <mergeCells count="4">
    <mergeCell ref="A2:B2"/>
    <mergeCell ref="A3:A34"/>
    <mergeCell ref="B3:B34"/>
    <mergeCell ref="E1:H1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8"/>
  <sheetViews>
    <sheetView view="pageBreakPreview" topLeftCell="A16" zoomScale="130" zoomScaleNormal="145" zoomScaleSheetLayoutView="130" workbookViewId="0">
      <selection activeCell="K32" sqref="K32"/>
    </sheetView>
  </sheetViews>
  <sheetFormatPr defaultColWidth="9.140625" defaultRowHeight="11.1" customHeight="1"/>
  <cols>
    <col min="1" max="1" width="3" style="20" customWidth="1"/>
    <col min="2" max="2" width="3.28515625" style="20" customWidth="1"/>
    <col min="3" max="3" width="4.5703125" style="20" customWidth="1"/>
    <col min="4" max="4" width="5.140625" style="20" customWidth="1"/>
    <col min="5" max="5" width="10.28515625" style="21" customWidth="1"/>
    <col min="6" max="6" width="41.85546875" style="21" customWidth="1"/>
    <col min="7" max="7" width="29" style="21" customWidth="1"/>
    <col min="8" max="8" width="4" style="198" customWidth="1"/>
    <col min="9" max="10" width="11.140625" style="20" customWidth="1"/>
    <col min="11" max="11" width="16.140625" style="20" customWidth="1"/>
    <col min="12" max="16384" width="9.140625" style="20"/>
  </cols>
  <sheetData>
    <row r="1" spans="1:12" ht="15.75" customHeight="1" thickBot="1">
      <c r="A1" s="43"/>
      <c r="B1" s="43"/>
      <c r="C1" s="43"/>
      <c r="D1" s="43"/>
      <c r="E1" s="433" t="s">
        <v>41</v>
      </c>
      <c r="F1" s="433"/>
      <c r="G1" s="433"/>
      <c r="H1" s="433"/>
      <c r="I1" s="43"/>
      <c r="J1" s="43"/>
      <c r="K1" s="43"/>
    </row>
    <row r="2" spans="1:12" s="173" customFormat="1" ht="52.5" customHeight="1" thickBot="1">
      <c r="A2" s="443" t="s">
        <v>0</v>
      </c>
      <c r="B2" s="443"/>
      <c r="C2" s="174" t="s">
        <v>1</v>
      </c>
      <c r="D2" s="174" t="s">
        <v>43</v>
      </c>
      <c r="E2" s="175" t="s">
        <v>2</v>
      </c>
      <c r="F2" s="175" t="s">
        <v>33</v>
      </c>
      <c r="G2" s="175" t="s">
        <v>9</v>
      </c>
      <c r="H2" s="194" t="s">
        <v>13</v>
      </c>
      <c r="I2" s="175" t="s">
        <v>32</v>
      </c>
      <c r="J2" s="175" t="s">
        <v>44</v>
      </c>
      <c r="K2" s="175" t="s">
        <v>12</v>
      </c>
    </row>
    <row r="3" spans="1:12" ht="11.1" customHeight="1">
      <c r="A3" s="435" t="s">
        <v>27</v>
      </c>
      <c r="B3" s="444" t="s">
        <v>294</v>
      </c>
      <c r="C3" s="167">
        <v>0</v>
      </c>
      <c r="D3" s="167">
        <v>32</v>
      </c>
      <c r="E3" s="182" t="s">
        <v>249</v>
      </c>
      <c r="F3" s="182" t="s">
        <v>23</v>
      </c>
      <c r="G3" s="166"/>
      <c r="H3" s="195">
        <v>0</v>
      </c>
      <c r="I3" s="167"/>
      <c r="J3" s="167"/>
      <c r="K3" s="167"/>
      <c r="L3" s="295" t="str">
        <f t="shared" ref="L3:L22" si="0">"INSERT INTO `mpt2`.`Messages` (`PlcID`, `MessageNum`, `MessageText`) VALUES ('10203', '"&amp;(3000+D3)&amp;"', '"&amp;E3&amp;" - "&amp;F3&amp;"');"</f>
        <v>INSERT INTO `mpt2`.`Messages` (`PlcID`, `MessageNum`, `MessageText`) VALUES ('10203', '3032', '41 HL1 - Сигнализация по блокировке');</v>
      </c>
    </row>
    <row r="4" spans="1:12" ht="11.1" customHeight="1">
      <c r="A4" s="435"/>
      <c r="B4" s="438"/>
      <c r="C4" s="45">
        <v>1</v>
      </c>
      <c r="D4" s="45">
        <v>33</v>
      </c>
      <c r="E4" s="183" t="s">
        <v>251</v>
      </c>
      <c r="F4" s="183" t="s">
        <v>24</v>
      </c>
      <c r="G4" s="46"/>
      <c r="H4" s="196">
        <v>0</v>
      </c>
      <c r="I4" s="45"/>
      <c r="J4" s="45"/>
      <c r="K4" s="45"/>
      <c r="L4" s="295" t="str">
        <f t="shared" si="0"/>
        <v>INSERT INTO `mpt2`.`Messages` (`PlcID`, `MessageNum`, `MessageText`) VALUES ('10203', '3033', '41 HL2 - Сигнализация по технологии');</v>
      </c>
    </row>
    <row r="5" spans="1:12" ht="11.1" customHeight="1">
      <c r="A5" s="435"/>
      <c r="B5" s="438"/>
      <c r="C5" s="45">
        <v>2</v>
      </c>
      <c r="D5" s="45">
        <v>34</v>
      </c>
      <c r="E5" s="183" t="s">
        <v>252</v>
      </c>
      <c r="F5" s="183" t="s">
        <v>26</v>
      </c>
      <c r="G5" s="46"/>
      <c r="H5" s="196">
        <v>0</v>
      </c>
      <c r="I5" s="45"/>
      <c r="J5" s="45"/>
      <c r="K5" s="45"/>
      <c r="L5" s="295" t="str">
        <f t="shared" si="0"/>
        <v>INSERT INTO `mpt2`.`Messages` (`PlcID`, `MessageNum`, `MessageText`) VALUES ('10203', '3034', '41 HA1 - Звуковая сигнализация');</v>
      </c>
    </row>
    <row r="6" spans="1:12" ht="11.1" customHeight="1">
      <c r="A6" s="435"/>
      <c r="B6" s="438"/>
      <c r="C6" s="45">
        <v>3</v>
      </c>
      <c r="D6" s="45">
        <v>35</v>
      </c>
      <c r="E6" s="182" t="s">
        <v>253</v>
      </c>
      <c r="F6" s="182" t="s">
        <v>23</v>
      </c>
      <c r="G6" s="166"/>
      <c r="H6" s="195">
        <v>0</v>
      </c>
      <c r="I6" s="167"/>
      <c r="J6" s="45"/>
      <c r="K6" s="45"/>
      <c r="L6" s="295" t="str">
        <f t="shared" si="0"/>
        <v>INSERT INTO `mpt2`.`Messages` (`PlcID`, `MessageNum`, `MessageText`) VALUES ('10203', '3035', '42 HL1 - Сигнализация по блокировке');</v>
      </c>
    </row>
    <row r="7" spans="1:12" ht="11.1" customHeight="1">
      <c r="A7" s="435"/>
      <c r="B7" s="438"/>
      <c r="C7" s="45">
        <v>4</v>
      </c>
      <c r="D7" s="45">
        <v>36</v>
      </c>
      <c r="E7" s="183" t="s">
        <v>250</v>
      </c>
      <c r="F7" s="183" t="s">
        <v>24</v>
      </c>
      <c r="G7" s="46"/>
      <c r="H7" s="196">
        <v>0</v>
      </c>
      <c r="I7" s="45"/>
      <c r="J7" s="45"/>
      <c r="K7" s="45"/>
      <c r="L7" s="295" t="str">
        <f t="shared" si="0"/>
        <v>INSERT INTO `mpt2`.`Messages` (`PlcID`, `MessageNum`, `MessageText`) VALUES ('10203', '3036', '42 HL2 - Сигнализация по технологии');</v>
      </c>
    </row>
    <row r="8" spans="1:12" ht="11.1" customHeight="1">
      <c r="A8" s="435"/>
      <c r="B8" s="438"/>
      <c r="C8" s="45">
        <v>5</v>
      </c>
      <c r="D8" s="45">
        <v>37</v>
      </c>
      <c r="E8" s="183" t="s">
        <v>254</v>
      </c>
      <c r="F8" s="183" t="s">
        <v>26</v>
      </c>
      <c r="G8" s="46"/>
      <c r="H8" s="196">
        <v>0</v>
      </c>
      <c r="I8" s="45"/>
      <c r="J8" s="45"/>
      <c r="K8" s="45"/>
      <c r="L8" s="295" t="str">
        <f t="shared" si="0"/>
        <v>INSERT INTO `mpt2`.`Messages` (`PlcID`, `MessageNum`, `MessageText`) VALUES ('10203', '3037', '42 HA1 - Звуковая сигнализация');</v>
      </c>
    </row>
    <row r="9" spans="1:12" ht="11.1" customHeight="1">
      <c r="A9" s="435"/>
      <c r="B9" s="438"/>
      <c r="C9" s="45">
        <v>6</v>
      </c>
      <c r="D9" s="45">
        <v>38</v>
      </c>
      <c r="E9" s="182" t="s">
        <v>255</v>
      </c>
      <c r="F9" s="182" t="s">
        <v>23</v>
      </c>
      <c r="G9" s="46"/>
      <c r="H9" s="196">
        <v>0</v>
      </c>
      <c r="I9" s="45"/>
      <c r="J9" s="45"/>
      <c r="K9" s="45"/>
      <c r="L9" s="295" t="str">
        <f t="shared" si="0"/>
        <v>INSERT INTO `mpt2`.`Messages` (`PlcID`, `MessageNum`, `MessageText`) VALUES ('10203', '3038', '43 HL1 - Сигнализация по блокировке');</v>
      </c>
    </row>
    <row r="10" spans="1:12" ht="11.1" customHeight="1">
      <c r="A10" s="435"/>
      <c r="B10" s="438"/>
      <c r="C10" s="45">
        <v>7</v>
      </c>
      <c r="D10" s="45">
        <v>39</v>
      </c>
      <c r="E10" s="183" t="s">
        <v>256</v>
      </c>
      <c r="F10" s="183" t="s">
        <v>24</v>
      </c>
      <c r="G10" s="46"/>
      <c r="H10" s="196">
        <v>0</v>
      </c>
      <c r="I10" s="45"/>
      <c r="J10" s="45"/>
      <c r="K10" s="45"/>
      <c r="L10" s="295" t="str">
        <f t="shared" si="0"/>
        <v>INSERT INTO `mpt2`.`Messages` (`PlcID`, `MessageNum`, `MessageText`) VALUES ('10203', '3039', '43 HL2 - Сигнализация по технологии');</v>
      </c>
    </row>
    <row r="11" spans="1:12" ht="11.1" customHeight="1">
      <c r="A11" s="435"/>
      <c r="B11" s="438"/>
      <c r="C11" s="45">
        <v>8</v>
      </c>
      <c r="D11" s="45">
        <v>40</v>
      </c>
      <c r="E11" s="183" t="s">
        <v>257</v>
      </c>
      <c r="F11" s="183" t="s">
        <v>26</v>
      </c>
      <c r="G11" s="46"/>
      <c r="H11" s="196">
        <v>0</v>
      </c>
      <c r="I11" s="45"/>
      <c r="J11" s="45"/>
      <c r="K11" s="45"/>
      <c r="L11" s="295" t="str">
        <f t="shared" si="0"/>
        <v>INSERT INTO `mpt2`.`Messages` (`PlcID`, `MessageNum`, `MessageText`) VALUES ('10203', '3040', '43 HA1 - Звуковая сигнализация');</v>
      </c>
    </row>
    <row r="12" spans="1:12" ht="11.1" customHeight="1">
      <c r="A12" s="435"/>
      <c r="B12" s="438"/>
      <c r="C12" s="45">
        <v>9</v>
      </c>
      <c r="D12" s="45">
        <v>41</v>
      </c>
      <c r="E12" s="182" t="s">
        <v>258</v>
      </c>
      <c r="F12" s="182" t="s">
        <v>23</v>
      </c>
      <c r="G12" s="46"/>
      <c r="H12" s="196">
        <v>0</v>
      </c>
      <c r="I12" s="45"/>
      <c r="J12" s="45"/>
      <c r="K12" s="45"/>
      <c r="L12" s="295" t="str">
        <f t="shared" si="0"/>
        <v>INSERT INTO `mpt2`.`Messages` (`PlcID`, `MessageNum`, `MessageText`) VALUES ('10203', '3041', '44 HL1 - Сигнализация по блокировке');</v>
      </c>
    </row>
    <row r="13" spans="1:12" ht="11.1" customHeight="1">
      <c r="A13" s="435"/>
      <c r="B13" s="438"/>
      <c r="C13" s="45">
        <v>10</v>
      </c>
      <c r="D13" s="45">
        <v>42</v>
      </c>
      <c r="E13" s="183" t="s">
        <v>259</v>
      </c>
      <c r="F13" s="183" t="s">
        <v>24</v>
      </c>
      <c r="G13" s="46"/>
      <c r="H13" s="196">
        <v>0</v>
      </c>
      <c r="I13" s="45"/>
      <c r="J13" s="45"/>
      <c r="K13" s="65"/>
      <c r="L13" s="295" t="str">
        <f t="shared" si="0"/>
        <v>INSERT INTO `mpt2`.`Messages` (`PlcID`, `MessageNum`, `MessageText`) VALUES ('10203', '3042', '44 HL2 - Сигнализация по технологии');</v>
      </c>
    </row>
    <row r="14" spans="1:12" ht="11.1" customHeight="1">
      <c r="A14" s="435"/>
      <c r="B14" s="438"/>
      <c r="C14" s="45">
        <v>11</v>
      </c>
      <c r="D14" s="45">
        <v>43</v>
      </c>
      <c r="E14" s="189" t="s">
        <v>260</v>
      </c>
      <c r="F14" s="189" t="s">
        <v>26</v>
      </c>
      <c r="G14" s="46"/>
      <c r="H14" s="196">
        <v>0</v>
      </c>
      <c r="I14" s="78"/>
      <c r="J14" s="45"/>
      <c r="K14" s="65"/>
      <c r="L14" s="295" t="str">
        <f t="shared" si="0"/>
        <v>INSERT INTO `mpt2`.`Messages` (`PlcID`, `MessageNum`, `MessageText`) VALUES ('10203', '3043', '44 HA1 - Звуковая сигнализация');</v>
      </c>
    </row>
    <row r="15" spans="1:12" ht="11.1" customHeight="1">
      <c r="A15" s="435"/>
      <c r="B15" s="438"/>
      <c r="C15" s="45">
        <v>12</v>
      </c>
      <c r="D15" s="45">
        <v>44</v>
      </c>
      <c r="E15" s="185" t="s">
        <v>25</v>
      </c>
      <c r="F15" s="185" t="s">
        <v>274</v>
      </c>
      <c r="G15" s="46"/>
      <c r="H15" s="196">
        <v>0</v>
      </c>
      <c r="I15" s="45"/>
      <c r="J15" s="45"/>
      <c r="K15" s="45"/>
      <c r="L15" s="295" t="str">
        <f t="shared" si="0"/>
        <v>INSERT INTO `mpt2`.`Messages` (`PlcID`, `MessageNum`, `MessageText`) VALUES ('10203', '3044', 'HL3 - Неисправность рабочих станций');</v>
      </c>
    </row>
    <row r="16" spans="1:12" ht="11.1" customHeight="1">
      <c r="A16" s="435"/>
      <c r="B16" s="438"/>
      <c r="C16" s="45">
        <v>13</v>
      </c>
      <c r="D16" s="45">
        <v>45</v>
      </c>
      <c r="E16" s="186" t="s">
        <v>106</v>
      </c>
      <c r="F16" s="187" t="s">
        <v>275</v>
      </c>
      <c r="G16" s="46"/>
      <c r="H16" s="196">
        <v>1</v>
      </c>
      <c r="I16" s="45"/>
      <c r="J16" s="45"/>
      <c r="K16" s="45"/>
      <c r="L16" s="295" t="str">
        <f t="shared" si="0"/>
        <v>INSERT INTO `mpt2`.`Messages` (`PlcID`, `MessageNum`, `MessageText`) VALUES ('10203', '3045', '41 TRCSA-5 - Сверхвысокая температура стенки реактора V-7');</v>
      </c>
    </row>
    <row r="17" spans="1:12" ht="11.1" customHeight="1">
      <c r="A17" s="435"/>
      <c r="B17" s="438"/>
      <c r="C17" s="45">
        <v>14</v>
      </c>
      <c r="D17" s="45">
        <v>46</v>
      </c>
      <c r="E17" s="184" t="s">
        <v>111</v>
      </c>
      <c r="F17" s="185" t="s">
        <v>276</v>
      </c>
      <c r="G17" s="46"/>
      <c r="H17" s="196">
        <v>1</v>
      </c>
      <c r="I17" s="45"/>
      <c r="J17" s="45"/>
      <c r="K17" s="45"/>
      <c r="L17" s="295" t="str">
        <f t="shared" si="0"/>
        <v>INSERT INTO `mpt2`.`Messages` (`PlcID`, `MessageNum`, `MessageText`) VALUES ('10203', '3046', '41 PRSA-84 - Сверхвысокое давление нагнетания экструзионного насоса P-4');</v>
      </c>
    </row>
    <row r="18" spans="1:12" ht="11.1" customHeight="1">
      <c r="A18" s="435"/>
      <c r="B18" s="438"/>
      <c r="C18" s="45">
        <v>15</v>
      </c>
      <c r="D18" s="45">
        <v>47</v>
      </c>
      <c r="E18" s="184" t="s">
        <v>148</v>
      </c>
      <c r="F18" s="185" t="s">
        <v>275</v>
      </c>
      <c r="G18" s="46"/>
      <c r="H18" s="196">
        <v>1</v>
      </c>
      <c r="I18" s="45"/>
      <c r="J18" s="45"/>
      <c r="K18" s="45"/>
      <c r="L18" s="295" t="str">
        <f t="shared" si="0"/>
        <v>INSERT INTO `mpt2`.`Messages` (`PlcID`, `MessageNum`, `MessageText`) VALUES ('10203', '3047', '42 TRCSA-5 - Сверхвысокая температура стенки реактора V-7');</v>
      </c>
    </row>
    <row r="19" spans="1:12" ht="11.1" customHeight="1">
      <c r="A19" s="435"/>
      <c r="B19" s="438"/>
      <c r="C19" s="45">
        <v>16</v>
      </c>
      <c r="D19" s="45">
        <v>48</v>
      </c>
      <c r="E19" s="186" t="s">
        <v>183</v>
      </c>
      <c r="F19" s="187" t="s">
        <v>275</v>
      </c>
      <c r="G19" s="166"/>
      <c r="H19" s="195">
        <v>1</v>
      </c>
      <c r="I19" s="167"/>
      <c r="J19" s="45"/>
      <c r="K19" s="45"/>
      <c r="L19" s="295" t="str">
        <f t="shared" si="0"/>
        <v>INSERT INTO `mpt2`.`Messages` (`PlcID`, `MessageNum`, `MessageText`) VALUES ('10203', '3048', '43 TRCSA-5 - Сверхвысокая температура стенки реактора V-7');</v>
      </c>
    </row>
    <row r="20" spans="1:12" ht="11.1" customHeight="1">
      <c r="A20" s="435"/>
      <c r="B20" s="438"/>
      <c r="C20" s="45">
        <v>17</v>
      </c>
      <c r="D20" s="45">
        <v>49</v>
      </c>
      <c r="E20" s="184" t="s">
        <v>138</v>
      </c>
      <c r="F20" s="185" t="s">
        <v>276</v>
      </c>
      <c r="G20" s="46"/>
      <c r="H20" s="196">
        <v>1</v>
      </c>
      <c r="I20" s="45"/>
      <c r="J20" s="45"/>
      <c r="K20" s="45"/>
      <c r="L20" s="295" t="str">
        <f t="shared" si="0"/>
        <v>INSERT INTO `mpt2`.`Messages` (`PlcID`, `MessageNum`, `MessageText`) VALUES ('10203', '3049', '43 PRSA-84 - Сверхвысокое давление нагнетания экструзионного насоса P-4');</v>
      </c>
    </row>
    <row r="21" spans="1:12" ht="11.1" customHeight="1">
      <c r="A21" s="435"/>
      <c r="B21" s="438"/>
      <c r="C21" s="45">
        <v>18</v>
      </c>
      <c r="D21" s="45">
        <v>50</v>
      </c>
      <c r="E21" s="190" t="s">
        <v>219</v>
      </c>
      <c r="F21" s="185" t="s">
        <v>275</v>
      </c>
      <c r="G21" s="46"/>
      <c r="H21" s="196">
        <v>1</v>
      </c>
      <c r="I21" s="45"/>
      <c r="J21" s="45"/>
      <c r="K21" s="45"/>
      <c r="L21" s="295" t="str">
        <f t="shared" si="0"/>
        <v>INSERT INTO `mpt2`.`Messages` (`PlcID`, `MessageNum`, `MessageText`) VALUES ('10203', '3050', '44 TRCSA-5 - Сверхвысокая температура стенки реактора V-7');</v>
      </c>
    </row>
    <row r="22" spans="1:12" ht="11.1" customHeight="1">
      <c r="A22" s="435"/>
      <c r="B22" s="438"/>
      <c r="C22" s="45">
        <v>19</v>
      </c>
      <c r="D22" s="45">
        <v>51</v>
      </c>
      <c r="E22" s="320" t="s">
        <v>474</v>
      </c>
      <c r="F22" s="320" t="s">
        <v>478</v>
      </c>
      <c r="G22" s="328"/>
      <c r="H22" s="329">
        <v>0</v>
      </c>
      <c r="I22" s="294"/>
      <c r="J22" s="294"/>
      <c r="K22" s="440" t="s">
        <v>426</v>
      </c>
      <c r="L22" s="20" t="str">
        <f t="shared" si="0"/>
        <v>INSERT INTO `mpt2`.`Messages` (`PlcID`, `MessageNum`, `MessageText`) VALUES ('10203', '3051', '41 TA7-10 - Групповое нарушение по 41 TRA-7…41 TRA-10 (свет)');</v>
      </c>
    </row>
    <row r="23" spans="1:12" ht="11.1" customHeight="1">
      <c r="A23" s="435"/>
      <c r="B23" s="438"/>
      <c r="C23" s="45">
        <v>20</v>
      </c>
      <c r="D23" s="45">
        <v>52</v>
      </c>
      <c r="E23" s="320" t="s">
        <v>475</v>
      </c>
      <c r="F23" s="320" t="s">
        <v>479</v>
      </c>
      <c r="G23" s="328"/>
      <c r="H23" s="329">
        <v>0</v>
      </c>
      <c r="I23" s="294"/>
      <c r="J23" s="294"/>
      <c r="K23" s="441"/>
    </row>
    <row r="24" spans="1:12" ht="11.1" customHeight="1">
      <c r="A24" s="435"/>
      <c r="B24" s="438"/>
      <c r="C24" s="45">
        <v>21</v>
      </c>
      <c r="D24" s="45">
        <v>53</v>
      </c>
      <c r="E24" s="320" t="s">
        <v>476</v>
      </c>
      <c r="F24" s="320" t="s">
        <v>480</v>
      </c>
      <c r="G24" s="328"/>
      <c r="H24" s="329">
        <v>0</v>
      </c>
      <c r="I24" s="294"/>
      <c r="J24" s="294"/>
      <c r="K24" s="441"/>
    </row>
    <row r="25" spans="1:12" ht="11.1" customHeight="1">
      <c r="A25" s="435"/>
      <c r="B25" s="438"/>
      <c r="C25" s="45">
        <v>22</v>
      </c>
      <c r="D25" s="45">
        <v>54</v>
      </c>
      <c r="E25" s="320" t="s">
        <v>477</v>
      </c>
      <c r="F25" s="320" t="s">
        <v>481</v>
      </c>
      <c r="G25" s="328"/>
      <c r="H25" s="329">
        <v>0</v>
      </c>
      <c r="I25" s="294"/>
      <c r="J25" s="294"/>
      <c r="K25" s="442"/>
    </row>
    <row r="26" spans="1:12" ht="11.1" customHeight="1">
      <c r="A26" s="435"/>
      <c r="B26" s="438"/>
      <c r="C26" s="45">
        <v>23</v>
      </c>
      <c r="D26" s="45">
        <v>55</v>
      </c>
      <c r="E26" s="185"/>
      <c r="F26" s="185"/>
      <c r="G26" s="46"/>
      <c r="H26" s="196"/>
      <c r="I26" s="45"/>
      <c r="J26" s="45"/>
      <c r="K26" s="45"/>
    </row>
    <row r="27" spans="1:12" ht="11.1" customHeight="1">
      <c r="A27" s="435"/>
      <c r="B27" s="438"/>
      <c r="C27" s="45">
        <v>24</v>
      </c>
      <c r="D27" s="45">
        <v>56</v>
      </c>
      <c r="E27" s="185"/>
      <c r="F27" s="185"/>
      <c r="G27" s="46"/>
      <c r="H27" s="196"/>
      <c r="I27" s="78"/>
      <c r="J27" s="45"/>
      <c r="K27" s="45"/>
    </row>
    <row r="28" spans="1:12" ht="11.1" customHeight="1">
      <c r="A28" s="435"/>
      <c r="B28" s="438"/>
      <c r="C28" s="45">
        <v>25</v>
      </c>
      <c r="D28" s="45">
        <v>57</v>
      </c>
      <c r="E28" s="185"/>
      <c r="F28" s="185"/>
      <c r="G28" s="46"/>
      <c r="H28" s="196"/>
      <c r="I28" s="45"/>
      <c r="J28" s="45"/>
      <c r="K28" s="45"/>
    </row>
    <row r="29" spans="1:12" ht="11.1" customHeight="1">
      <c r="A29" s="435"/>
      <c r="B29" s="438"/>
      <c r="C29" s="45">
        <v>26</v>
      </c>
      <c r="D29" s="45">
        <v>58</v>
      </c>
      <c r="E29" s="185"/>
      <c r="F29" s="185"/>
      <c r="G29" s="46"/>
      <c r="H29" s="196"/>
      <c r="I29" s="45"/>
      <c r="J29" s="45"/>
      <c r="K29" s="45"/>
    </row>
    <row r="30" spans="1:12" ht="11.1" customHeight="1">
      <c r="A30" s="435"/>
      <c r="B30" s="438"/>
      <c r="C30" s="45">
        <v>27</v>
      </c>
      <c r="D30" s="45">
        <v>59</v>
      </c>
      <c r="E30" s="185"/>
      <c r="F30" s="185"/>
      <c r="G30" s="166"/>
      <c r="H30" s="195"/>
      <c r="I30" s="167"/>
      <c r="J30" s="45"/>
      <c r="K30" s="45"/>
    </row>
    <row r="31" spans="1:12" ht="11.1" customHeight="1">
      <c r="A31" s="435"/>
      <c r="B31" s="438"/>
      <c r="C31" s="45">
        <v>28</v>
      </c>
      <c r="D31" s="45">
        <v>60</v>
      </c>
      <c r="E31" s="185"/>
      <c r="F31" s="185"/>
      <c r="G31" s="46"/>
      <c r="H31" s="196"/>
      <c r="I31" s="45"/>
      <c r="J31" s="45"/>
      <c r="K31" s="45"/>
    </row>
    <row r="32" spans="1:12" ht="11.1" customHeight="1">
      <c r="A32" s="435"/>
      <c r="B32" s="438"/>
      <c r="C32" s="45">
        <v>29</v>
      </c>
      <c r="D32" s="45">
        <v>61</v>
      </c>
      <c r="E32" s="185"/>
      <c r="F32" s="185"/>
      <c r="G32" s="46"/>
      <c r="H32" s="196"/>
      <c r="I32" s="45"/>
      <c r="J32" s="45"/>
      <c r="K32" s="45"/>
    </row>
    <row r="33" spans="1:12" ht="11.1" customHeight="1">
      <c r="A33" s="435"/>
      <c r="B33" s="438"/>
      <c r="C33" s="45">
        <v>30</v>
      </c>
      <c r="D33" s="45">
        <v>62</v>
      </c>
      <c r="E33" s="185"/>
      <c r="F33" s="185"/>
      <c r="G33" s="46"/>
      <c r="H33" s="196"/>
      <c r="I33" s="45"/>
      <c r="J33" s="45"/>
      <c r="K33" s="45"/>
    </row>
    <row r="34" spans="1:12" ht="11.1" customHeight="1" thickBot="1">
      <c r="A34" s="436"/>
      <c r="B34" s="439"/>
      <c r="C34" s="48">
        <v>31</v>
      </c>
      <c r="D34" s="48">
        <v>63</v>
      </c>
      <c r="E34" s="188"/>
      <c r="F34" s="188"/>
      <c r="G34" s="47"/>
      <c r="H34" s="197"/>
      <c r="I34" s="48"/>
      <c r="J34" s="48"/>
      <c r="K34" s="48"/>
    </row>
    <row r="35" spans="1:12" ht="11.1" customHeight="1" thickTop="1">
      <c r="A35" s="434" t="s">
        <v>27</v>
      </c>
      <c r="B35" s="437" t="s">
        <v>424</v>
      </c>
      <c r="C35" s="44">
        <v>0</v>
      </c>
      <c r="D35" s="44">
        <v>64</v>
      </c>
      <c r="E35" s="186" t="s">
        <v>106</v>
      </c>
      <c r="F35" s="187" t="s">
        <v>96</v>
      </c>
      <c r="G35" s="166"/>
      <c r="H35" s="195">
        <v>1</v>
      </c>
      <c r="I35" s="167"/>
      <c r="J35" s="44"/>
      <c r="K35" s="44"/>
      <c r="L35" s="295" t="str">
        <f t="shared" ref="L35:L54" si="1">"INSERT INTO `mpt2`.`Messages` (`PlcID`, `MessageNum`, `MessageText`) VALUES ('10203', '"&amp;(3000+D35)&amp;"', '"&amp;E35&amp;" - "&amp;F35&amp;"');"</f>
        <v>INSERT INTO `mpt2`.`Messages` (`PlcID`, `MessageNum`, `MessageText`) VALUES ('10203', '3064', '41 TRCSA-5 - Высокая температура стенки реактора V-7');</v>
      </c>
    </row>
    <row r="36" spans="1:12" ht="11.1" customHeight="1">
      <c r="A36" s="435"/>
      <c r="B36" s="438"/>
      <c r="C36" s="45">
        <v>1</v>
      </c>
      <c r="D36" s="45">
        <v>65</v>
      </c>
      <c r="E36" s="184" t="s">
        <v>148</v>
      </c>
      <c r="F36" s="185" t="s">
        <v>96</v>
      </c>
      <c r="G36" s="46"/>
      <c r="H36" s="196">
        <v>1</v>
      </c>
      <c r="I36" s="45"/>
      <c r="J36" s="45"/>
      <c r="K36" s="45"/>
      <c r="L36" s="295" t="str">
        <f t="shared" si="1"/>
        <v>INSERT INTO `mpt2`.`Messages` (`PlcID`, `MessageNum`, `MessageText`) VALUES ('10203', '3065', '42 TRCSA-5 - Высокая температура стенки реактора V-7');</v>
      </c>
    </row>
    <row r="37" spans="1:12" ht="11.1" customHeight="1">
      <c r="A37" s="435"/>
      <c r="B37" s="438"/>
      <c r="C37" s="45">
        <v>2</v>
      </c>
      <c r="D37" s="45">
        <v>66</v>
      </c>
      <c r="E37" s="184" t="s">
        <v>183</v>
      </c>
      <c r="F37" s="185" t="s">
        <v>96</v>
      </c>
      <c r="G37" s="46"/>
      <c r="H37" s="196">
        <v>1</v>
      </c>
      <c r="I37" s="45"/>
      <c r="J37" s="45"/>
      <c r="K37" s="45"/>
      <c r="L37" s="295" t="str">
        <f t="shared" si="1"/>
        <v>INSERT INTO `mpt2`.`Messages` (`PlcID`, `MessageNum`, `MessageText`) VALUES ('10203', '3066', '43 TRCSA-5 - Высокая температура стенки реактора V-7');</v>
      </c>
    </row>
    <row r="38" spans="1:12" ht="11.1" customHeight="1">
      <c r="A38" s="435"/>
      <c r="B38" s="438"/>
      <c r="C38" s="45">
        <v>3</v>
      </c>
      <c r="D38" s="45">
        <v>67</v>
      </c>
      <c r="E38" s="184" t="s">
        <v>219</v>
      </c>
      <c r="F38" s="185" t="s">
        <v>96</v>
      </c>
      <c r="G38" s="46"/>
      <c r="H38" s="196">
        <v>1</v>
      </c>
      <c r="I38" s="78"/>
      <c r="J38" s="45"/>
      <c r="K38" s="45"/>
      <c r="L38" s="295" t="str">
        <f t="shared" si="1"/>
        <v>INSERT INTO `mpt2`.`Messages` (`PlcID`, `MessageNum`, `MessageText`) VALUES ('10203', '3067', '44 TRCSA-5 - Высокая температура стенки реактора V-7');</v>
      </c>
    </row>
    <row r="39" spans="1:12" ht="11.1" customHeight="1">
      <c r="A39" s="435"/>
      <c r="B39" s="438"/>
      <c r="C39" s="45">
        <v>4</v>
      </c>
      <c r="D39" s="45">
        <v>68</v>
      </c>
      <c r="E39" s="185" t="s">
        <v>302</v>
      </c>
      <c r="F39" s="185" t="s">
        <v>310</v>
      </c>
      <c r="G39" s="46"/>
      <c r="H39" s="196">
        <v>1</v>
      </c>
      <c r="I39" s="45"/>
      <c r="J39" s="45"/>
      <c r="K39" s="45"/>
      <c r="L39" s="295" t="str">
        <f t="shared" si="1"/>
        <v>INSERT INTO `mpt2`.`Messages` (`PlcID`, `MessageNum`, `MessageText`) VALUES ('10203', '3068', '41 LRCA-4/1 - Высокий уровень п/э в отделителе выкого давления 41V-8');</v>
      </c>
    </row>
    <row r="40" spans="1:12" ht="11.1" customHeight="1">
      <c r="A40" s="435"/>
      <c r="B40" s="438"/>
      <c r="C40" s="45">
        <v>5</v>
      </c>
      <c r="D40" s="45">
        <v>69</v>
      </c>
      <c r="E40" s="185" t="s">
        <v>303</v>
      </c>
      <c r="F40" s="185" t="s">
        <v>311</v>
      </c>
      <c r="G40" s="46"/>
      <c r="H40" s="196">
        <v>1</v>
      </c>
      <c r="I40" s="45"/>
      <c r="J40" s="45"/>
      <c r="K40" s="45"/>
      <c r="L40" s="295" t="str">
        <f t="shared" si="1"/>
        <v>INSERT INTO `mpt2`.`Messages` (`PlcID`, `MessageNum`, `MessageText`) VALUES ('10203', '3069', '41 LRCA-4/2 - Низкий уровень п/э в отделителе выкого давления 41V-8');</v>
      </c>
    </row>
    <row r="41" spans="1:12" ht="11.1" customHeight="1">
      <c r="A41" s="435"/>
      <c r="B41" s="438"/>
      <c r="C41" s="45">
        <v>6</v>
      </c>
      <c r="D41" s="45">
        <v>70</v>
      </c>
      <c r="E41" s="185" t="s">
        <v>304</v>
      </c>
      <c r="F41" s="185" t="s">
        <v>312</v>
      </c>
      <c r="G41" s="46"/>
      <c r="H41" s="196">
        <v>1</v>
      </c>
      <c r="I41" s="45"/>
      <c r="J41" s="45"/>
      <c r="K41" s="45"/>
      <c r="L41" s="295" t="str">
        <f t="shared" si="1"/>
        <v>INSERT INTO `mpt2`.`Messages` (`PlcID`, `MessageNum`, `MessageText`) VALUES ('10203', '3070', '42 LRCA-4/1 - Высокий уровень п/э в отделителе выкого давления 42V-8');</v>
      </c>
    </row>
    <row r="42" spans="1:12" ht="11.1" customHeight="1">
      <c r="A42" s="435"/>
      <c r="B42" s="438"/>
      <c r="C42" s="45">
        <v>7</v>
      </c>
      <c r="D42" s="45">
        <v>71</v>
      </c>
      <c r="E42" s="185" t="s">
        <v>305</v>
      </c>
      <c r="F42" s="185" t="s">
        <v>313</v>
      </c>
      <c r="G42" s="46"/>
      <c r="H42" s="196">
        <v>1</v>
      </c>
      <c r="I42" s="45"/>
      <c r="J42" s="45"/>
      <c r="K42" s="45"/>
      <c r="L42" s="295" t="str">
        <f t="shared" si="1"/>
        <v>INSERT INTO `mpt2`.`Messages` (`PlcID`, `MessageNum`, `MessageText`) VALUES ('10203', '3071', '42 LRCA-4/2 - Низкий уровень п/э в отделителе выкого давления 42V-8');</v>
      </c>
    </row>
    <row r="43" spans="1:12" ht="11.1" customHeight="1">
      <c r="A43" s="435"/>
      <c r="B43" s="438"/>
      <c r="C43" s="45">
        <v>8</v>
      </c>
      <c r="D43" s="45">
        <v>72</v>
      </c>
      <c r="E43" s="185" t="s">
        <v>306</v>
      </c>
      <c r="F43" s="185" t="s">
        <v>95</v>
      </c>
      <c r="G43" s="166"/>
      <c r="H43" s="195">
        <v>1</v>
      </c>
      <c r="I43" s="167"/>
      <c r="J43" s="45"/>
      <c r="K43" s="45"/>
      <c r="L43" s="295" t="str">
        <f t="shared" si="1"/>
        <v>INSERT INTO `mpt2`.`Messages` (`PlcID`, `MessageNum`, `MessageText`) VALUES ('10203', '3072', '43 LRCA-4/1 - Высокий уровень п/э в отделителе выкого давления V-8');</v>
      </c>
    </row>
    <row r="44" spans="1:12" ht="11.1" customHeight="1">
      <c r="A44" s="435"/>
      <c r="B44" s="438"/>
      <c r="C44" s="45">
        <v>9</v>
      </c>
      <c r="D44" s="45">
        <v>73</v>
      </c>
      <c r="E44" s="185" t="s">
        <v>307</v>
      </c>
      <c r="F44" s="185" t="s">
        <v>98</v>
      </c>
      <c r="G44" s="46"/>
      <c r="H44" s="196">
        <v>1</v>
      </c>
      <c r="I44" s="45"/>
      <c r="J44" s="45"/>
      <c r="K44" s="45"/>
      <c r="L44" s="295" t="str">
        <f t="shared" si="1"/>
        <v>INSERT INTO `mpt2`.`Messages` (`PlcID`, `MessageNum`, `MessageText`) VALUES ('10203', '3073', '43 LRCA-4/2 - Низкий уровень п/э в отделителе выкого давления V-8');</v>
      </c>
    </row>
    <row r="45" spans="1:12" ht="11.1" customHeight="1">
      <c r="A45" s="435"/>
      <c r="B45" s="438"/>
      <c r="C45" s="45">
        <v>10</v>
      </c>
      <c r="D45" s="45">
        <v>74</v>
      </c>
      <c r="E45" s="185" t="s">
        <v>308</v>
      </c>
      <c r="F45" s="185" t="s">
        <v>95</v>
      </c>
      <c r="G45" s="46"/>
      <c r="H45" s="196">
        <v>1</v>
      </c>
      <c r="I45" s="45"/>
      <c r="J45" s="45"/>
      <c r="K45" s="65"/>
      <c r="L45" s="295" t="str">
        <f t="shared" si="1"/>
        <v>INSERT INTO `mpt2`.`Messages` (`PlcID`, `MessageNum`, `MessageText`) VALUES ('10203', '3074', '44 LRCA-4/1 - Высокий уровень п/э в отделителе выкого давления V-8');</v>
      </c>
    </row>
    <row r="46" spans="1:12" ht="11.1" customHeight="1">
      <c r="A46" s="435"/>
      <c r="B46" s="438"/>
      <c r="C46" s="45">
        <v>11</v>
      </c>
      <c r="D46" s="45">
        <v>75</v>
      </c>
      <c r="E46" s="185" t="s">
        <v>309</v>
      </c>
      <c r="F46" s="185" t="s">
        <v>98</v>
      </c>
      <c r="G46" s="46"/>
      <c r="H46" s="196">
        <v>1</v>
      </c>
      <c r="I46" s="45"/>
      <c r="J46" s="45"/>
      <c r="K46" s="65"/>
      <c r="L46" s="295" t="str">
        <f t="shared" si="1"/>
        <v>INSERT INTO `mpt2`.`Messages` (`PlcID`, `MessageNum`, `MessageText`) VALUES ('10203', '3075', '44 LRCA-4/2 - Низкий уровень п/э в отделителе выкого давления V-8');</v>
      </c>
    </row>
    <row r="47" spans="1:12" ht="11.1" customHeight="1">
      <c r="A47" s="435"/>
      <c r="B47" s="438"/>
      <c r="C47" s="45">
        <v>12</v>
      </c>
      <c r="D47" s="45">
        <v>76</v>
      </c>
      <c r="E47" s="185" t="s">
        <v>314</v>
      </c>
      <c r="F47" s="185" t="s">
        <v>94</v>
      </c>
      <c r="G47" s="46"/>
      <c r="H47" s="196">
        <v>1</v>
      </c>
      <c r="I47" s="45"/>
      <c r="J47" s="45"/>
      <c r="K47" s="45"/>
      <c r="L47" s="295" t="str">
        <f t="shared" si="1"/>
        <v>INSERT INTO `mpt2`.`Messages` (`PlcID`, `MessageNum`, `MessageText`) VALUES ('10203', '3076', '41 LRA-6/1 - Высокий уровень п/э в отделителе низкого давления V-9');</v>
      </c>
    </row>
    <row r="48" spans="1:12" ht="11.1" customHeight="1">
      <c r="A48" s="435"/>
      <c r="B48" s="438"/>
      <c r="C48" s="45">
        <v>13</v>
      </c>
      <c r="D48" s="45">
        <v>77</v>
      </c>
      <c r="E48" s="185" t="s">
        <v>315</v>
      </c>
      <c r="F48" s="185" t="s">
        <v>97</v>
      </c>
      <c r="G48" s="46"/>
      <c r="H48" s="196">
        <v>1</v>
      </c>
      <c r="I48" s="45"/>
      <c r="J48" s="45"/>
      <c r="K48" s="45"/>
      <c r="L48" s="295" t="str">
        <f t="shared" si="1"/>
        <v>INSERT INTO `mpt2`.`Messages` (`PlcID`, `MessageNum`, `MessageText`) VALUES ('10203', '3077', '41 LRA-6/2 - Низкий уровень п/э в отделителе низкого давления V-9');</v>
      </c>
    </row>
    <row r="49" spans="1:12" ht="11.1" customHeight="1">
      <c r="A49" s="435"/>
      <c r="B49" s="438"/>
      <c r="C49" s="45">
        <v>14</v>
      </c>
      <c r="D49" s="45">
        <v>78</v>
      </c>
      <c r="E49" s="185" t="s">
        <v>316</v>
      </c>
      <c r="F49" s="185" t="s">
        <v>94</v>
      </c>
      <c r="G49" s="46"/>
      <c r="H49" s="196">
        <v>1</v>
      </c>
      <c r="I49" s="45"/>
      <c r="J49" s="45"/>
      <c r="K49" s="45"/>
      <c r="L49" s="295" t="str">
        <f t="shared" si="1"/>
        <v>INSERT INTO `mpt2`.`Messages` (`PlcID`, `MessageNum`, `MessageText`) VALUES ('10203', '3078', '42 LRA-6/1 - Высокий уровень п/э в отделителе низкого давления V-9');</v>
      </c>
    </row>
    <row r="50" spans="1:12" ht="11.1" customHeight="1">
      <c r="A50" s="435"/>
      <c r="B50" s="438"/>
      <c r="C50" s="45">
        <v>15</v>
      </c>
      <c r="D50" s="45">
        <v>79</v>
      </c>
      <c r="E50" s="185" t="s">
        <v>317</v>
      </c>
      <c r="F50" s="185" t="s">
        <v>97</v>
      </c>
      <c r="G50" s="46"/>
      <c r="H50" s="196">
        <v>1</v>
      </c>
      <c r="I50" s="45"/>
      <c r="J50" s="45"/>
      <c r="K50" s="45"/>
      <c r="L50" s="295" t="str">
        <f t="shared" si="1"/>
        <v>INSERT INTO `mpt2`.`Messages` (`PlcID`, `MessageNum`, `MessageText`) VALUES ('10203', '3079', '42 LRA-6/2 - Низкий уровень п/э в отделителе низкого давления V-9');</v>
      </c>
    </row>
    <row r="51" spans="1:12" ht="11.1" customHeight="1">
      <c r="A51" s="435"/>
      <c r="B51" s="438"/>
      <c r="C51" s="45">
        <v>16</v>
      </c>
      <c r="D51" s="45">
        <v>80</v>
      </c>
      <c r="E51" s="185" t="s">
        <v>318</v>
      </c>
      <c r="F51" s="185" t="s">
        <v>94</v>
      </c>
      <c r="G51" s="46"/>
      <c r="H51" s="196">
        <v>1</v>
      </c>
      <c r="I51" s="78"/>
      <c r="J51" s="45"/>
      <c r="K51" s="45"/>
      <c r="L51" s="295" t="str">
        <f t="shared" si="1"/>
        <v>INSERT INTO `mpt2`.`Messages` (`PlcID`, `MessageNum`, `MessageText`) VALUES ('10203', '3080', '43 LRA-6/1 - Высокий уровень п/э в отделителе низкого давления V-9');</v>
      </c>
    </row>
    <row r="52" spans="1:12" ht="11.1" customHeight="1">
      <c r="A52" s="435"/>
      <c r="B52" s="438"/>
      <c r="C52" s="45">
        <v>17</v>
      </c>
      <c r="D52" s="45">
        <v>81</v>
      </c>
      <c r="E52" s="185" t="s">
        <v>319</v>
      </c>
      <c r="F52" s="185" t="s">
        <v>97</v>
      </c>
      <c r="G52" s="46"/>
      <c r="H52" s="196">
        <v>1</v>
      </c>
      <c r="I52" s="45"/>
      <c r="J52" s="45"/>
      <c r="K52" s="45"/>
      <c r="L52" s="295" t="str">
        <f t="shared" si="1"/>
        <v>INSERT INTO `mpt2`.`Messages` (`PlcID`, `MessageNum`, `MessageText`) VALUES ('10203', '3081', '43 LRA-6/2 - Низкий уровень п/э в отделителе низкого давления V-9');</v>
      </c>
    </row>
    <row r="53" spans="1:12" ht="11.1" customHeight="1">
      <c r="A53" s="435"/>
      <c r="B53" s="438"/>
      <c r="C53" s="45">
        <v>18</v>
      </c>
      <c r="D53" s="45">
        <v>82</v>
      </c>
      <c r="E53" s="185" t="s">
        <v>320</v>
      </c>
      <c r="F53" s="185" t="s">
        <v>94</v>
      </c>
      <c r="G53" s="46"/>
      <c r="H53" s="196">
        <v>1</v>
      </c>
      <c r="I53" s="45"/>
      <c r="J53" s="45"/>
      <c r="K53" s="45"/>
      <c r="L53" s="295" t="str">
        <f t="shared" si="1"/>
        <v>INSERT INTO `mpt2`.`Messages` (`PlcID`, `MessageNum`, `MessageText`) VALUES ('10203', '3082', '44 LRA-6/1 - Высокий уровень п/э в отделителе низкого давления V-9');</v>
      </c>
    </row>
    <row r="54" spans="1:12" ht="11.1" customHeight="1">
      <c r="A54" s="435"/>
      <c r="B54" s="438"/>
      <c r="C54" s="45">
        <v>19</v>
      </c>
      <c r="D54" s="45">
        <v>83</v>
      </c>
      <c r="E54" s="185" t="s">
        <v>321</v>
      </c>
      <c r="F54" s="185" t="s">
        <v>97</v>
      </c>
      <c r="G54" s="46"/>
      <c r="H54" s="196">
        <v>1</v>
      </c>
      <c r="I54" s="45"/>
      <c r="J54" s="45"/>
      <c r="K54" s="45"/>
      <c r="L54" s="295" t="str">
        <f t="shared" si="1"/>
        <v>INSERT INTO `mpt2`.`Messages` (`PlcID`, `MessageNum`, `MessageText`) VALUES ('10203', '3083', '44 LRA-6/2 - Низкий уровень п/э в отделителе низкого давления V-9');</v>
      </c>
    </row>
    <row r="55" spans="1:12" ht="11.1" customHeight="1">
      <c r="A55" s="435"/>
      <c r="B55" s="438"/>
      <c r="C55" s="45">
        <v>20</v>
      </c>
      <c r="D55" s="45">
        <v>84</v>
      </c>
      <c r="E55" s="185"/>
      <c r="F55" s="185"/>
      <c r="G55" s="46"/>
      <c r="H55" s="196"/>
      <c r="I55" s="45"/>
      <c r="J55" s="45"/>
      <c r="K55" s="45"/>
    </row>
    <row r="56" spans="1:12" ht="11.1" customHeight="1">
      <c r="A56" s="435"/>
      <c r="B56" s="438"/>
      <c r="C56" s="45">
        <v>21</v>
      </c>
      <c r="D56" s="45">
        <v>85</v>
      </c>
      <c r="E56" s="185"/>
      <c r="F56" s="185"/>
      <c r="G56" s="46"/>
      <c r="H56" s="196"/>
      <c r="I56" s="45"/>
      <c r="J56" s="45"/>
      <c r="K56" s="45"/>
    </row>
    <row r="57" spans="1:12" ht="11.1" customHeight="1">
      <c r="A57" s="435"/>
      <c r="B57" s="438"/>
      <c r="C57" s="45">
        <v>22</v>
      </c>
      <c r="D57" s="45">
        <v>86</v>
      </c>
      <c r="E57" s="185"/>
      <c r="F57" s="185"/>
      <c r="G57" s="46"/>
      <c r="H57" s="196"/>
      <c r="I57" s="45"/>
      <c r="J57" s="45"/>
      <c r="K57" s="45"/>
      <c r="L57" s="295" t="s">
        <v>427</v>
      </c>
    </row>
    <row r="58" spans="1:12" ht="11.1" customHeight="1">
      <c r="A58" s="435"/>
      <c r="B58" s="438"/>
      <c r="C58" s="45">
        <v>23</v>
      </c>
      <c r="D58" s="45">
        <v>84</v>
      </c>
      <c r="E58" s="185"/>
      <c r="F58" s="185"/>
      <c r="G58" s="46"/>
      <c r="H58" s="196"/>
      <c r="I58" s="45"/>
      <c r="J58" s="45"/>
      <c r="K58" s="45"/>
      <c r="L58" s="295" t="s">
        <v>428</v>
      </c>
    </row>
    <row r="59" spans="1:12" ht="11.1" customHeight="1">
      <c r="A59" s="435"/>
      <c r="B59" s="438"/>
      <c r="C59" s="45">
        <v>24</v>
      </c>
      <c r="D59" s="45">
        <v>88</v>
      </c>
      <c r="E59" s="185"/>
      <c r="F59" s="185"/>
      <c r="G59" s="46"/>
      <c r="H59" s="196"/>
      <c r="I59" s="78"/>
      <c r="J59" s="45"/>
      <c r="K59" s="45"/>
      <c r="L59" s="295" t="s">
        <v>429</v>
      </c>
    </row>
    <row r="60" spans="1:12" ht="11.1" customHeight="1">
      <c r="A60" s="435"/>
      <c r="B60" s="438"/>
      <c r="C60" s="45">
        <v>25</v>
      </c>
      <c r="D60" s="45">
        <v>89</v>
      </c>
      <c r="E60" s="185"/>
      <c r="F60" s="185"/>
      <c r="G60" s="46"/>
      <c r="H60" s="196"/>
      <c r="I60" s="45"/>
      <c r="J60" s="45"/>
      <c r="K60" s="45"/>
      <c r="L60" s="295" t="s">
        <v>430</v>
      </c>
    </row>
    <row r="61" spans="1:12" ht="11.1" customHeight="1">
      <c r="A61" s="435"/>
      <c r="B61" s="438"/>
      <c r="C61" s="45">
        <v>26</v>
      </c>
      <c r="D61" s="45">
        <v>90</v>
      </c>
      <c r="E61" s="185"/>
      <c r="F61" s="185"/>
      <c r="G61" s="46"/>
      <c r="H61" s="196"/>
      <c r="I61" s="45"/>
      <c r="J61" s="45"/>
      <c r="K61" s="45"/>
      <c r="L61" s="295" t="s">
        <v>431</v>
      </c>
    </row>
    <row r="62" spans="1:12" ht="11.1" customHeight="1">
      <c r="A62" s="435"/>
      <c r="B62" s="438"/>
      <c r="C62" s="45">
        <v>27</v>
      </c>
      <c r="D62" s="45">
        <v>91</v>
      </c>
      <c r="E62" s="185"/>
      <c r="F62" s="185"/>
      <c r="G62" s="46"/>
      <c r="H62" s="196"/>
      <c r="I62" s="45"/>
      <c r="J62" s="45"/>
      <c r="K62" s="45"/>
    </row>
    <row r="63" spans="1:12" ht="11.1" customHeight="1">
      <c r="A63" s="435"/>
      <c r="B63" s="438"/>
      <c r="C63" s="45">
        <v>28</v>
      </c>
      <c r="D63" s="45">
        <v>92</v>
      </c>
      <c r="E63" s="10"/>
      <c r="F63" s="10"/>
      <c r="G63" s="46"/>
      <c r="H63" s="196"/>
      <c r="I63" s="45"/>
      <c r="J63" s="45"/>
      <c r="K63" s="45"/>
    </row>
    <row r="64" spans="1:12" ht="11.1" customHeight="1">
      <c r="A64" s="435"/>
      <c r="B64" s="438"/>
      <c r="C64" s="45">
        <v>29</v>
      </c>
      <c r="D64" s="45">
        <v>93</v>
      </c>
      <c r="E64" s="46"/>
      <c r="F64" s="46"/>
      <c r="G64" s="46"/>
      <c r="H64" s="196"/>
      <c r="I64" s="45"/>
      <c r="J64" s="45"/>
      <c r="K64" s="45"/>
    </row>
    <row r="65" spans="1:11" ht="11.1" customHeight="1">
      <c r="A65" s="435"/>
      <c r="B65" s="438"/>
      <c r="C65" s="45">
        <v>30</v>
      </c>
      <c r="D65" s="45">
        <v>94</v>
      </c>
      <c r="E65" s="46"/>
      <c r="F65" s="46"/>
      <c r="G65" s="46"/>
      <c r="H65" s="196"/>
      <c r="I65" s="45"/>
      <c r="J65" s="45"/>
      <c r="K65" s="45"/>
    </row>
    <row r="66" spans="1:11" ht="11.1" customHeight="1" thickBot="1">
      <c r="A66" s="436"/>
      <c r="B66" s="439"/>
      <c r="C66" s="48">
        <v>31</v>
      </c>
      <c r="D66" s="48">
        <v>95</v>
      </c>
      <c r="E66" s="47"/>
      <c r="F66" s="47"/>
      <c r="G66" s="47"/>
      <c r="H66" s="197"/>
      <c r="I66" s="48"/>
      <c r="J66" s="48"/>
      <c r="K66" s="48"/>
    </row>
    <row r="67" spans="1:11" ht="11.1" customHeight="1" thickTop="1"/>
    <row r="68" spans="1:11" ht="11.1" customHeight="1">
      <c r="E68" s="178"/>
      <c r="F68" s="177" t="s">
        <v>263</v>
      </c>
    </row>
  </sheetData>
  <mergeCells count="7">
    <mergeCell ref="E1:H1"/>
    <mergeCell ref="A35:A66"/>
    <mergeCell ref="B35:B66"/>
    <mergeCell ref="K22:K25"/>
    <mergeCell ref="A2:B2"/>
    <mergeCell ref="A3:A34"/>
    <mergeCell ref="B3:B34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6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M213"/>
  <sheetViews>
    <sheetView topLeftCell="A184" zoomScale="115" zoomScaleNormal="115" workbookViewId="0">
      <selection activeCell="F8" sqref="F8"/>
    </sheetView>
  </sheetViews>
  <sheetFormatPr defaultRowHeight="15"/>
  <cols>
    <col min="1" max="2" width="1.85546875" style="1" customWidth="1"/>
    <col min="3" max="4" width="2.85546875" style="1" customWidth="1"/>
    <col min="5" max="5" width="10.140625" style="4" customWidth="1"/>
    <col min="6" max="6" width="33" style="4" customWidth="1"/>
    <col min="7" max="8" width="5" style="203" customWidth="1"/>
    <col min="9" max="9" width="4.7109375" style="231" customWidth="1"/>
    <col min="10" max="10" width="4.28515625" style="203" customWidth="1"/>
    <col min="11" max="13" width="6" style="203" customWidth="1"/>
    <col min="14" max="15" width="4" style="203" customWidth="1"/>
    <col min="16" max="17" width="3.42578125" style="2" customWidth="1"/>
    <col min="18" max="18" width="6" style="205" customWidth="1"/>
    <col min="19" max="19" width="5.7109375" style="1" customWidth="1"/>
    <col min="20" max="20" width="4.140625" style="203" customWidth="1"/>
    <col min="21" max="21" width="3.140625" style="1" customWidth="1"/>
    <col min="22" max="22" width="5.42578125" style="1" customWidth="1"/>
    <col min="23" max="23" width="4" customWidth="1"/>
    <col min="24" max="24" width="1.5703125" style="203" customWidth="1"/>
    <col min="25" max="25" width="4.140625" style="203" customWidth="1"/>
    <col min="26" max="26" width="1.7109375" style="203" customWidth="1"/>
    <col min="27" max="27" width="4.140625" style="203" customWidth="1"/>
    <col min="28" max="28" width="1.5703125" style="203" customWidth="1"/>
    <col min="29" max="29" width="5.5703125" style="203" customWidth="1"/>
    <col min="30" max="30" width="5.140625" style="203" customWidth="1"/>
    <col min="31" max="31" width="1.5703125" style="203" customWidth="1"/>
    <col min="32" max="32" width="5.42578125" style="203" customWidth="1"/>
    <col min="33" max="33" width="2.140625" style="203" customWidth="1"/>
    <col min="34" max="34" width="1.7109375" style="203" customWidth="1"/>
    <col min="35" max="35" width="2.140625" style="203" customWidth="1"/>
    <col min="36" max="37" width="5" style="203" customWidth="1"/>
    <col min="38" max="38" width="2" style="203" customWidth="1"/>
    <col min="39" max="39" width="1.5703125" style="203" customWidth="1"/>
    <col min="40" max="40" width="4.28515625" style="203" customWidth="1"/>
    <col min="41" max="41" width="1" style="203" customWidth="1"/>
    <col min="42" max="42" width="2.28515625" style="203" customWidth="1"/>
    <col min="43" max="43" width="1.5703125" style="203" customWidth="1"/>
    <col min="44" max="44" width="6" style="203" customWidth="1"/>
    <col min="45" max="45" width="1" style="203" customWidth="1"/>
    <col min="46" max="46" width="3.42578125" style="203" customWidth="1"/>
    <col min="47" max="47" width="1.5703125" style="203" customWidth="1"/>
    <col min="48" max="48" width="6" style="203" customWidth="1"/>
    <col min="49" max="49" width="1" style="203" customWidth="1"/>
    <col min="50" max="50" width="3.42578125" style="203" customWidth="1"/>
    <col min="51" max="51" width="1.5703125" style="203" customWidth="1"/>
    <col min="52" max="52" width="6" style="203" customWidth="1"/>
    <col min="53" max="53" width="1" style="203" customWidth="1"/>
    <col min="54" max="54" width="2.28515625" style="203" customWidth="1"/>
    <col min="55" max="55" width="1.5703125" style="203" customWidth="1"/>
    <col min="56" max="56" width="4" style="203" customWidth="1"/>
    <col min="57" max="57" width="1" style="203" customWidth="1"/>
    <col min="58" max="58" width="1.42578125" style="203" customWidth="1"/>
    <col min="59" max="59" width="1.5703125" style="203" customWidth="1"/>
    <col min="60" max="60" width="4" style="203" customWidth="1"/>
    <col min="61" max="61" width="1" style="203" customWidth="1"/>
    <col min="62" max="62" width="3.5703125" style="1" customWidth="1"/>
    <col min="63" max="65" width="4.140625" style="203" customWidth="1"/>
  </cols>
  <sheetData>
    <row r="1" spans="1:65" ht="16.5" thickBot="1">
      <c r="B1" s="211"/>
      <c r="C1" s="211"/>
      <c r="D1" s="211"/>
      <c r="E1" s="211"/>
      <c r="F1" s="200" t="s">
        <v>361</v>
      </c>
      <c r="G1" s="202"/>
      <c r="H1" s="202"/>
      <c r="I1" s="212"/>
      <c r="J1" s="202"/>
      <c r="K1" s="202"/>
      <c r="L1" s="202"/>
      <c r="M1" s="202"/>
      <c r="N1" s="202"/>
      <c r="O1" s="202"/>
      <c r="P1" s="212"/>
      <c r="Q1" s="212"/>
      <c r="T1" s="202"/>
      <c r="X1" s="201"/>
      <c r="Y1" s="202"/>
      <c r="Z1" s="202"/>
      <c r="AA1" s="202"/>
      <c r="AB1" s="201"/>
      <c r="AC1" s="202"/>
      <c r="AD1" s="202"/>
      <c r="AE1" s="201"/>
      <c r="AF1" s="202"/>
      <c r="AG1" s="202"/>
      <c r="AH1" s="202"/>
      <c r="AI1" s="202"/>
      <c r="AJ1" s="202"/>
      <c r="AK1" s="202"/>
      <c r="AL1" s="202"/>
      <c r="AM1" s="201"/>
      <c r="AN1" s="202"/>
      <c r="AO1" s="202"/>
      <c r="AP1" s="202"/>
      <c r="AQ1" s="201"/>
      <c r="AR1" s="202"/>
      <c r="AS1" s="202"/>
      <c r="AT1" s="202"/>
      <c r="AU1" s="201"/>
      <c r="AV1" s="202"/>
      <c r="AW1" s="202"/>
      <c r="AX1" s="202"/>
      <c r="AY1" s="201"/>
      <c r="AZ1" s="202"/>
      <c r="BA1" s="202"/>
      <c r="BB1" s="202"/>
      <c r="BC1" s="201"/>
      <c r="BD1" s="202"/>
      <c r="BE1" s="202"/>
      <c r="BF1" s="202"/>
      <c r="BG1" s="201"/>
      <c r="BH1" s="202"/>
      <c r="BI1" s="202"/>
      <c r="BK1" s="202"/>
      <c r="BL1" s="202"/>
      <c r="BM1" s="202"/>
    </row>
    <row r="2" spans="1:65" ht="15.75" customHeight="1" thickBot="1">
      <c r="A2" s="449" t="s">
        <v>0</v>
      </c>
      <c r="B2" s="450"/>
      <c r="C2" s="453" t="s">
        <v>1</v>
      </c>
      <c r="D2" s="453" t="s">
        <v>28</v>
      </c>
      <c r="E2" s="455" t="s">
        <v>2</v>
      </c>
      <c r="F2" s="457" t="s">
        <v>33</v>
      </c>
      <c r="G2" s="204"/>
      <c r="H2" s="204"/>
      <c r="I2" s="459" t="s">
        <v>30</v>
      </c>
      <c r="J2" s="461" t="s">
        <v>3</v>
      </c>
      <c r="K2" s="461"/>
      <c r="L2" s="461" t="s">
        <v>9</v>
      </c>
      <c r="M2" s="461"/>
      <c r="N2" s="461" t="s">
        <v>10</v>
      </c>
      <c r="O2" s="461"/>
      <c r="P2" s="461" t="s">
        <v>4</v>
      </c>
      <c r="Q2" s="461"/>
      <c r="R2" s="447" t="s">
        <v>12</v>
      </c>
      <c r="S2" s="205"/>
      <c r="T2" s="204"/>
      <c r="U2" s="205"/>
      <c r="V2" s="205"/>
      <c r="Y2" s="204"/>
      <c r="Z2" s="204"/>
      <c r="AA2" s="204"/>
      <c r="AC2" s="204"/>
      <c r="AD2" s="204"/>
      <c r="AF2" s="204"/>
      <c r="AG2" s="204"/>
      <c r="AH2" s="204"/>
      <c r="AI2" s="204"/>
      <c r="AJ2" s="204"/>
      <c r="AK2" s="204"/>
      <c r="AL2" s="204"/>
      <c r="AN2" s="204"/>
      <c r="AO2" s="204"/>
      <c r="AP2" s="204"/>
      <c r="AR2" s="204"/>
      <c r="AS2" s="204"/>
      <c r="AT2" s="204"/>
      <c r="AV2" s="204"/>
      <c r="AW2" s="204"/>
      <c r="AX2" s="204"/>
      <c r="AZ2" s="204"/>
      <c r="BA2" s="204"/>
      <c r="BB2" s="204"/>
      <c r="BD2" s="204"/>
      <c r="BE2" s="204"/>
      <c r="BF2" s="204"/>
      <c r="BH2" s="204"/>
      <c r="BI2" s="204"/>
      <c r="BJ2" s="205"/>
      <c r="BK2" s="204"/>
      <c r="BL2" s="204"/>
      <c r="BM2" s="204"/>
    </row>
    <row r="3" spans="1:65" ht="45.75" thickBot="1">
      <c r="A3" s="451"/>
      <c r="B3" s="452"/>
      <c r="C3" s="454"/>
      <c r="D3" s="454"/>
      <c r="E3" s="456"/>
      <c r="F3" s="458"/>
      <c r="G3" s="206" t="s">
        <v>339</v>
      </c>
      <c r="H3" s="206" t="s">
        <v>340</v>
      </c>
      <c r="I3" s="460"/>
      <c r="J3" s="206" t="s">
        <v>342</v>
      </c>
      <c r="K3" s="206" t="s">
        <v>345</v>
      </c>
      <c r="L3" s="206" t="s">
        <v>348</v>
      </c>
      <c r="M3" s="206" t="s">
        <v>351</v>
      </c>
      <c r="N3" s="206" t="s">
        <v>354</v>
      </c>
      <c r="O3" s="206" t="s">
        <v>357</v>
      </c>
      <c r="P3" s="213" t="s">
        <v>7</v>
      </c>
      <c r="Q3" s="214" t="s">
        <v>8</v>
      </c>
      <c r="R3" s="448"/>
      <c r="S3" s="205"/>
      <c r="T3" s="206" t="s">
        <v>359</v>
      </c>
      <c r="U3" s="215" t="s">
        <v>362</v>
      </c>
      <c r="V3" s="205" t="s">
        <v>363</v>
      </c>
      <c r="X3" s="203" t="s">
        <v>329</v>
      </c>
      <c r="Y3" s="206" t="s">
        <v>330</v>
      </c>
      <c r="Z3" s="206" t="s">
        <v>331</v>
      </c>
      <c r="AA3" s="206" t="s">
        <v>332</v>
      </c>
      <c r="AB3" s="203" t="s">
        <v>333</v>
      </c>
      <c r="AC3" s="206" t="s">
        <v>334</v>
      </c>
      <c r="AD3" s="206" t="s">
        <v>335</v>
      </c>
      <c r="AE3" s="203" t="s">
        <v>336</v>
      </c>
      <c r="AF3" s="206" t="s">
        <v>337</v>
      </c>
      <c r="AG3" s="206"/>
      <c r="AH3" s="206" t="s">
        <v>338</v>
      </c>
      <c r="AI3" s="206"/>
      <c r="AJ3" s="206" t="s">
        <v>339</v>
      </c>
      <c r="AK3" s="206" t="s">
        <v>340</v>
      </c>
      <c r="AL3" s="206"/>
      <c r="AM3" s="203" t="s">
        <v>341</v>
      </c>
      <c r="AN3" s="206" t="s">
        <v>342</v>
      </c>
      <c r="AO3" s="206" t="s">
        <v>343</v>
      </c>
      <c r="AP3" s="206"/>
      <c r="AQ3" s="203" t="s">
        <v>344</v>
      </c>
      <c r="AR3" s="206" t="s">
        <v>345</v>
      </c>
      <c r="AS3" s="206" t="s">
        <v>346</v>
      </c>
      <c r="AT3" s="206"/>
      <c r="AU3" s="203" t="s">
        <v>347</v>
      </c>
      <c r="AV3" s="206" t="s">
        <v>348</v>
      </c>
      <c r="AW3" s="206" t="s">
        <v>349</v>
      </c>
      <c r="AX3" s="206"/>
      <c r="AY3" s="203" t="s">
        <v>350</v>
      </c>
      <c r="AZ3" s="206" t="s">
        <v>351</v>
      </c>
      <c r="BA3" s="206" t="s">
        <v>352</v>
      </c>
      <c r="BB3" s="206"/>
      <c r="BC3" s="203" t="s">
        <v>353</v>
      </c>
      <c r="BD3" s="206" t="s">
        <v>354</v>
      </c>
      <c r="BE3" s="206" t="s">
        <v>355</v>
      </c>
      <c r="BF3" s="206"/>
      <c r="BG3" s="203" t="s">
        <v>356</v>
      </c>
      <c r="BH3" s="206" t="s">
        <v>357</v>
      </c>
      <c r="BI3" s="206" t="s">
        <v>358</v>
      </c>
      <c r="BJ3" s="3"/>
      <c r="BK3" s="206" t="s">
        <v>359</v>
      </c>
      <c r="BL3" s="206" t="s">
        <v>360</v>
      </c>
      <c r="BM3" s="206" t="s">
        <v>398</v>
      </c>
    </row>
    <row r="4" spans="1:65">
      <c r="A4" s="445" t="s">
        <v>36</v>
      </c>
      <c r="B4" s="446">
        <v>3</v>
      </c>
      <c r="C4" s="216">
        <v>0</v>
      </c>
      <c r="D4" s="216">
        <v>0</v>
      </c>
      <c r="E4" s="217" t="s">
        <v>364</v>
      </c>
      <c r="F4" s="217" t="s">
        <v>365</v>
      </c>
      <c r="G4" s="207">
        <f>[1]!'AI[0].ZL'</f>
        <v>0</v>
      </c>
      <c r="H4" s="207">
        <f>[1]!'AI[0].ZH'</f>
        <v>100</v>
      </c>
      <c r="I4" s="216" t="s">
        <v>366</v>
      </c>
      <c r="J4" s="207">
        <f>[1]!'AI[0].RL.V'</f>
        <v>30</v>
      </c>
      <c r="K4" s="207">
        <f>[1]!'AI[0].RH.V'</f>
        <v>50</v>
      </c>
      <c r="L4" s="207">
        <f>[1]!'AI[0].L.V'</f>
        <v>0</v>
      </c>
      <c r="M4" s="207">
        <f>[1]!'AI[0].H.V'</f>
        <v>0</v>
      </c>
      <c r="N4" s="207">
        <f>[1]!'AI[0].LL.V'</f>
        <v>0</v>
      </c>
      <c r="O4" s="207">
        <f>[1]!'AI[0].HH.V'</f>
        <v>0</v>
      </c>
      <c r="P4" s="218">
        <v>1</v>
      </c>
      <c r="Q4" s="219">
        <v>0</v>
      </c>
      <c r="R4" s="220"/>
      <c r="S4" s="209"/>
      <c r="T4" s="207">
        <f>[1]!'AI[0].group'</f>
        <v>1</v>
      </c>
      <c r="U4" s="209"/>
      <c r="V4" s="209">
        <f>(H4-G4)/100</f>
        <v>1</v>
      </c>
      <c r="X4" s="207">
        <f>[1]!'AI[0].EN'</f>
        <v>1</v>
      </c>
      <c r="Y4" s="207">
        <f>[1]!'AI[0].i'</f>
        <v>5.6533809999999999E-3</v>
      </c>
      <c r="Z4" s="207">
        <f>[1]!'AI[0].isForce'</f>
        <v>0</v>
      </c>
      <c r="AA4" s="207" t="e">
        <f>[1]!'AI[0].vRaw'</f>
        <v>#REF!</v>
      </c>
      <c r="AB4" s="207">
        <f>[1]!'AI[0].isCorrect'</f>
        <v>0</v>
      </c>
      <c r="AC4" s="207" t="e">
        <f>[1]!'AI[0].vCorrect'</f>
        <v>#REF!</v>
      </c>
      <c r="AD4" s="207">
        <f>[1]!'AI[0].v'</f>
        <v>0</v>
      </c>
      <c r="AE4" s="207" t="e">
        <f>[1]!'AI[0].isCut'</f>
        <v>#REF!</v>
      </c>
      <c r="AF4" s="207" t="e">
        <f>[1]!'AI[0].vCut'</f>
        <v>#REF!</v>
      </c>
      <c r="AG4" s="208"/>
      <c r="AH4" s="207">
        <f>[1]!'AI[0].break.sgn'</f>
        <v>1</v>
      </c>
      <c r="AI4" s="208"/>
      <c r="AJ4" s="207">
        <f>[1]!'AI[0].ZL'</f>
        <v>0</v>
      </c>
      <c r="AK4" s="207">
        <f>[1]!'AI[0].ZH'</f>
        <v>100</v>
      </c>
      <c r="AL4" s="208"/>
      <c r="AM4" s="207">
        <f>[1]!'AI[0].RL.EN'</f>
        <v>1</v>
      </c>
      <c r="AN4" s="207">
        <f>[1]!'AI[0].RL.V'</f>
        <v>30</v>
      </c>
      <c r="AO4" s="207">
        <f>[1]!'AI[0].RL.fix'</f>
        <v>0</v>
      </c>
      <c r="AP4" s="208"/>
      <c r="AQ4" s="207">
        <f>[1]!'AI[0].RH.EN'</f>
        <v>1</v>
      </c>
      <c r="AR4" s="207">
        <f>[1]!'AI[0].RH.V'</f>
        <v>50</v>
      </c>
      <c r="AS4" s="207">
        <f>[1]!'AI[0].RH.fix'</f>
        <v>0</v>
      </c>
      <c r="AT4" s="208"/>
      <c r="AU4" s="207">
        <f>[1]!'AI[0].L.EN'</f>
        <v>0</v>
      </c>
      <c r="AV4" s="207">
        <f>[1]!'AI[0].L.V'</f>
        <v>0</v>
      </c>
      <c r="AW4" s="207">
        <f>[1]!'AI[0].L.fix'</f>
        <v>0</v>
      </c>
      <c r="AX4" s="208"/>
      <c r="AY4" s="207">
        <f>[1]!'AI[0].H.EN'</f>
        <v>0</v>
      </c>
      <c r="AZ4" s="207">
        <f>[1]!'AI[0].H.V'</f>
        <v>0</v>
      </c>
      <c r="BA4" s="207">
        <f>[1]!'AI[0].H.fix'</f>
        <v>0</v>
      </c>
      <c r="BB4" s="208"/>
      <c r="BC4" s="207">
        <f>[1]!'AI[0].LL.EN'</f>
        <v>0</v>
      </c>
      <c r="BD4" s="207">
        <f>[1]!'AI[0].LL.V'</f>
        <v>0</v>
      </c>
      <c r="BE4" s="207">
        <f>[1]!'AI[0].LL.fix'</f>
        <v>0</v>
      </c>
      <c r="BF4" s="208"/>
      <c r="BG4" s="207">
        <f>[1]!'AI[0].HH.EN'</f>
        <v>0</v>
      </c>
      <c r="BH4" s="207">
        <f>[1]!'AI[0].HH.V'</f>
        <v>0</v>
      </c>
      <c r="BI4" s="207">
        <f>[1]!'AI[0].HH.fix'</f>
        <v>0</v>
      </c>
      <c r="BJ4" s="209"/>
      <c r="BK4" s="207">
        <f>[1]!'AI[0].group'</f>
        <v>1</v>
      </c>
      <c r="BL4" s="207">
        <f>[1]!'AI[0].state'</f>
        <v>4</v>
      </c>
      <c r="BM4" s="207">
        <f>[1]!'AI[0].isInvScale'</f>
        <v>0</v>
      </c>
    </row>
    <row r="5" spans="1:65">
      <c r="A5" s="445"/>
      <c r="B5" s="446"/>
      <c r="C5" s="221">
        <v>1</v>
      </c>
      <c r="D5" s="221">
        <v>1</v>
      </c>
      <c r="E5" s="222" t="s">
        <v>367</v>
      </c>
      <c r="F5" s="222" t="s">
        <v>368</v>
      </c>
      <c r="G5" s="207">
        <f>[1]!'AI[1].ZL'</f>
        <v>0</v>
      </c>
      <c r="H5" s="207">
        <f>[1]!'AI[1].ZH'</f>
        <v>60</v>
      </c>
      <c r="I5" s="221" t="s">
        <v>366</v>
      </c>
      <c r="J5" s="207">
        <f>[1]!'AI[1].RL.V'</f>
        <v>18</v>
      </c>
      <c r="K5" s="207">
        <f>[1]!'AI[1].RH.V'</f>
        <v>25</v>
      </c>
      <c r="L5" s="207">
        <f>[1]!'AI[1].L.V'</f>
        <v>0</v>
      </c>
      <c r="M5" s="207">
        <f>[1]!'AI[1].H.V'</f>
        <v>0</v>
      </c>
      <c r="N5" s="207">
        <f>[1]!'AI[1].LL.V'</f>
        <v>0</v>
      </c>
      <c r="O5" s="207">
        <f>[1]!'AI[1].HH.V'</f>
        <v>0</v>
      </c>
      <c r="P5" s="223">
        <v>1</v>
      </c>
      <c r="Q5" s="224">
        <v>0</v>
      </c>
      <c r="R5" s="184"/>
      <c r="S5" s="209"/>
      <c r="T5" s="207">
        <f>[1]!'AI[1].group'</f>
        <v>1</v>
      </c>
      <c r="U5" s="209"/>
      <c r="V5" s="209">
        <f t="shared" ref="V5:V23" si="0">(H5-G5)/100</f>
        <v>0.6</v>
      </c>
      <c r="X5" s="207">
        <f>[1]!'AI[1].EN'</f>
        <v>1</v>
      </c>
      <c r="Y5" s="207">
        <f>[1]!'AI[1].i'</f>
        <v>5.9671400000000001E-3</v>
      </c>
      <c r="Z5" s="207">
        <f>[1]!'AI[1].isForce'</f>
        <v>0</v>
      </c>
      <c r="AA5" s="207" t="e">
        <f>[1]!'AI[1].vRaw'</f>
        <v>#REF!</v>
      </c>
      <c r="AB5" s="207">
        <f>[1]!'AI[1].isCorrect'</f>
        <v>0</v>
      </c>
      <c r="AC5" s="207" t="e">
        <f>[1]!'AI[1].vCorrect'</f>
        <v>#REF!</v>
      </c>
      <c r="AD5" s="207">
        <f>[1]!'AI[1].v'</f>
        <v>0</v>
      </c>
      <c r="AE5" s="207" t="e">
        <f>[1]!'AI[1].isCut'</f>
        <v>#REF!</v>
      </c>
      <c r="AF5" s="207" t="e">
        <f>[1]!'AI[1].vCut'</f>
        <v>#REF!</v>
      </c>
      <c r="AG5" s="208"/>
      <c r="AH5" s="207">
        <f>[1]!'AI[1].break.sgn'</f>
        <v>1</v>
      </c>
      <c r="AI5" s="208"/>
      <c r="AJ5" s="207">
        <f>[1]!'AI[1].ZL'</f>
        <v>0</v>
      </c>
      <c r="AK5" s="207">
        <f>[1]!'AI[1].ZH'</f>
        <v>60</v>
      </c>
      <c r="AL5" s="208"/>
      <c r="AM5" s="207">
        <f>[1]!'AI[1].RL.EN'</f>
        <v>1</v>
      </c>
      <c r="AN5" s="207">
        <f>[1]!'AI[1].RL.V'</f>
        <v>18</v>
      </c>
      <c r="AO5" s="207">
        <f>[1]!'AI[1].RL.fix'</f>
        <v>0</v>
      </c>
      <c r="AP5" s="208"/>
      <c r="AQ5" s="207">
        <f>[1]!'AI[1].RH.EN'</f>
        <v>1</v>
      </c>
      <c r="AR5" s="207">
        <f>[1]!'AI[1].RH.V'</f>
        <v>25</v>
      </c>
      <c r="AS5" s="207">
        <f>[1]!'AI[1].RH.fix'</f>
        <v>0</v>
      </c>
      <c r="AT5" s="208"/>
      <c r="AU5" s="207">
        <f>[1]!'AI[1].L.EN'</f>
        <v>0</v>
      </c>
      <c r="AV5" s="207">
        <f>[1]!'AI[1].L.V'</f>
        <v>0</v>
      </c>
      <c r="AW5" s="207">
        <f>[1]!'AI[1].L.fix'</f>
        <v>0</v>
      </c>
      <c r="AX5" s="208"/>
      <c r="AY5" s="207">
        <f>[1]!'AI[1].H.EN'</f>
        <v>0</v>
      </c>
      <c r="AZ5" s="207">
        <f>[1]!'AI[1].H.V'</f>
        <v>0</v>
      </c>
      <c r="BA5" s="207">
        <f>[1]!'AI[1].H.fix'</f>
        <v>0</v>
      </c>
      <c r="BB5" s="208"/>
      <c r="BC5" s="207">
        <f>[1]!'AI[1].LL.EN'</f>
        <v>0</v>
      </c>
      <c r="BD5" s="207">
        <f>[1]!'AI[1].LL.V'</f>
        <v>0</v>
      </c>
      <c r="BE5" s="207">
        <f>[1]!'AI[1].LL.fix'</f>
        <v>0</v>
      </c>
      <c r="BF5" s="208"/>
      <c r="BG5" s="207">
        <f>[1]!'AI[1].HH.EN'</f>
        <v>0</v>
      </c>
      <c r="BH5" s="207">
        <f>[1]!'AI[1].HH.V'</f>
        <v>0</v>
      </c>
      <c r="BI5" s="207">
        <f>[1]!'AI[1].HH.fix'</f>
        <v>0</v>
      </c>
      <c r="BJ5" s="209"/>
      <c r="BK5" s="207">
        <f>[1]!'AI[1].group'</f>
        <v>1</v>
      </c>
      <c r="BL5" s="207">
        <f>[1]!'AI[1].state'</f>
        <v>4</v>
      </c>
      <c r="BM5" s="207">
        <f>[1]!'AI[1].isInvScale'</f>
        <v>0</v>
      </c>
    </row>
    <row r="6" spans="1:65">
      <c r="A6" s="445"/>
      <c r="B6" s="446"/>
      <c r="C6" s="221">
        <v>2</v>
      </c>
      <c r="D6" s="221">
        <v>2</v>
      </c>
      <c r="E6" s="222" t="s">
        <v>369</v>
      </c>
      <c r="F6" s="222" t="s">
        <v>370</v>
      </c>
      <c r="G6" s="207">
        <f>[1]!'AI[2].ZL'</f>
        <v>0</v>
      </c>
      <c r="H6" s="207">
        <f>[1]!'AI[2].ZH'</f>
        <v>400</v>
      </c>
      <c r="I6" s="221" t="s">
        <v>366</v>
      </c>
      <c r="J6" s="207">
        <f>[1]!'AI[2].RL.V'</f>
        <v>30</v>
      </c>
      <c r="K6" s="207">
        <f>[1]!'AI[2].RH.V'</f>
        <v>100</v>
      </c>
      <c r="L6" s="207">
        <f>[1]!'AI[2].L.V'</f>
        <v>0</v>
      </c>
      <c r="M6" s="207">
        <f>[1]!'AI[2].H.V'</f>
        <v>0</v>
      </c>
      <c r="N6" s="207">
        <f>[1]!'AI[2].LL.V'</f>
        <v>0</v>
      </c>
      <c r="O6" s="207">
        <f>[1]!'AI[2].HH.V'</f>
        <v>0</v>
      </c>
      <c r="P6" s="223">
        <v>1</v>
      </c>
      <c r="Q6" s="224">
        <v>0</v>
      </c>
      <c r="R6" s="184"/>
      <c r="S6" s="209"/>
      <c r="T6" s="207">
        <f>[1]!'AI[2].group'</f>
        <v>1</v>
      </c>
      <c r="U6" s="209"/>
      <c r="V6" s="209">
        <f t="shared" si="0"/>
        <v>4</v>
      </c>
      <c r="X6" s="207">
        <f>[1]!'AI[2].EN'</f>
        <v>1</v>
      </c>
      <c r="Y6" s="207">
        <f>[1]!'AI[2].i'</f>
        <v>5.9671400000000001E-3</v>
      </c>
      <c r="Z6" s="207">
        <f>[1]!'AI[2].isForce'</f>
        <v>0</v>
      </c>
      <c r="AA6" s="207" t="e">
        <f>[1]!'AI[2].vRaw'</f>
        <v>#REF!</v>
      </c>
      <c r="AB6" s="207">
        <f>[1]!'AI[2].isCorrect'</f>
        <v>0</v>
      </c>
      <c r="AC6" s="207" t="e">
        <f>[1]!'AI[2].vCorrect'</f>
        <v>#REF!</v>
      </c>
      <c r="AD6" s="207">
        <f>[1]!'AI[2].v'</f>
        <v>0</v>
      </c>
      <c r="AE6" s="207" t="e">
        <f>[1]!'AI[2].isCut'</f>
        <v>#REF!</v>
      </c>
      <c r="AF6" s="207" t="e">
        <f>[1]!'AI[2].vCut'</f>
        <v>#REF!</v>
      </c>
      <c r="AG6" s="208"/>
      <c r="AH6" s="207">
        <f>[1]!'AI[2].break.sgn'</f>
        <v>1</v>
      </c>
      <c r="AI6" s="208"/>
      <c r="AJ6" s="207">
        <f>[1]!'AI[2].ZL'</f>
        <v>0</v>
      </c>
      <c r="AK6" s="207">
        <f>[1]!'AI[2].ZH'</f>
        <v>400</v>
      </c>
      <c r="AL6" s="208"/>
      <c r="AM6" s="207">
        <f>[1]!'AI[2].RL.EN'</f>
        <v>1</v>
      </c>
      <c r="AN6" s="207">
        <f>[1]!'AI[2].RL.V'</f>
        <v>30</v>
      </c>
      <c r="AO6" s="207">
        <f>[1]!'AI[2].RL.fix'</f>
        <v>0</v>
      </c>
      <c r="AP6" s="208"/>
      <c r="AQ6" s="207">
        <f>[1]!'AI[2].RH.EN'</f>
        <v>1</v>
      </c>
      <c r="AR6" s="207">
        <f>[1]!'AI[2].RH.V'</f>
        <v>100</v>
      </c>
      <c r="AS6" s="207">
        <f>[1]!'AI[2].RH.fix'</f>
        <v>0</v>
      </c>
      <c r="AT6" s="208"/>
      <c r="AU6" s="207">
        <f>[1]!'AI[2].L.EN'</f>
        <v>0</v>
      </c>
      <c r="AV6" s="207">
        <f>[1]!'AI[2].L.V'</f>
        <v>0</v>
      </c>
      <c r="AW6" s="207">
        <f>[1]!'AI[2].L.fix'</f>
        <v>0</v>
      </c>
      <c r="AX6" s="208"/>
      <c r="AY6" s="207">
        <f>[1]!'AI[2].H.EN'</f>
        <v>0</v>
      </c>
      <c r="AZ6" s="207">
        <f>[1]!'AI[2].H.V'</f>
        <v>0</v>
      </c>
      <c r="BA6" s="207">
        <f>[1]!'AI[2].H.fix'</f>
        <v>0</v>
      </c>
      <c r="BB6" s="208"/>
      <c r="BC6" s="207">
        <f>[1]!'AI[2].LL.EN'</f>
        <v>0</v>
      </c>
      <c r="BD6" s="207">
        <f>[1]!'AI[2].LL.V'</f>
        <v>0</v>
      </c>
      <c r="BE6" s="207">
        <f>[1]!'AI[2].LL.fix'</f>
        <v>0</v>
      </c>
      <c r="BF6" s="208"/>
      <c r="BG6" s="207">
        <f>[1]!'AI[2].HH.EN'</f>
        <v>0</v>
      </c>
      <c r="BH6" s="207">
        <f>[1]!'AI[2].HH.V'</f>
        <v>0</v>
      </c>
      <c r="BI6" s="207">
        <f>[1]!'AI[2].HH.fix'</f>
        <v>0</v>
      </c>
      <c r="BJ6" s="209"/>
      <c r="BK6" s="207">
        <f>[1]!'AI[2].group'</f>
        <v>1</v>
      </c>
      <c r="BL6" s="207">
        <f>[1]!'AI[2].state'</f>
        <v>4</v>
      </c>
      <c r="BM6" s="207">
        <f>[1]!'AI[2].isInvScale'</f>
        <v>0</v>
      </c>
    </row>
    <row r="7" spans="1:65">
      <c r="A7" s="445"/>
      <c r="B7" s="446"/>
      <c r="C7" s="221">
        <v>3</v>
      </c>
      <c r="D7" s="221">
        <v>3</v>
      </c>
      <c r="E7" s="222" t="s">
        <v>371</v>
      </c>
      <c r="F7" s="222" t="s">
        <v>372</v>
      </c>
      <c r="G7" s="207">
        <f>[1]!'AI[3].ZL'</f>
        <v>0</v>
      </c>
      <c r="H7" s="207">
        <f>[1]!'AI[3].ZH'</f>
        <v>100</v>
      </c>
      <c r="I7" s="221" t="s">
        <v>366</v>
      </c>
      <c r="J7" s="207">
        <f>[1]!'AI[3].RL.V'</f>
        <v>15</v>
      </c>
      <c r="K7" s="207">
        <f>[1]!'AI[3].RH.V'</f>
        <v>40</v>
      </c>
      <c r="L7" s="207">
        <f>[1]!'AI[3].L.V'</f>
        <v>10</v>
      </c>
      <c r="M7" s="207">
        <f>[1]!'AI[3].H.V'</f>
        <v>55</v>
      </c>
      <c r="N7" s="207">
        <f>[1]!'AI[3].LL.V'</f>
        <v>0</v>
      </c>
      <c r="O7" s="207">
        <f>[1]!'AI[3].HH.V'</f>
        <v>0</v>
      </c>
      <c r="P7" s="223">
        <v>1</v>
      </c>
      <c r="Q7" s="224">
        <v>0</v>
      </c>
      <c r="R7" s="184"/>
      <c r="S7" s="209"/>
      <c r="T7" s="207">
        <f>[1]!'AI[3].group'</f>
        <v>1</v>
      </c>
      <c r="U7" s="209"/>
      <c r="V7" s="209">
        <f t="shared" si="0"/>
        <v>1</v>
      </c>
      <c r="X7" s="207">
        <f>[1]!'AI[3].EN'</f>
        <v>1</v>
      </c>
      <c r="Y7" s="207">
        <f>[1]!'AI[3].i'</f>
        <v>4.0180889999999998</v>
      </c>
      <c r="Z7" s="207">
        <f>[1]!'AI[3].isForce'</f>
        <v>0</v>
      </c>
      <c r="AA7" s="207" t="e">
        <f>[1]!'AI[3].vRaw'</f>
        <v>#REF!</v>
      </c>
      <c r="AB7" s="207">
        <f>[1]!'AI[3].isCorrect'</f>
        <v>0</v>
      </c>
      <c r="AC7" s="207" t="e">
        <f>[1]!'AI[3].vCorrect'</f>
        <v>#REF!</v>
      </c>
      <c r="AD7" s="207">
        <f>[1]!'AI[3].v'</f>
        <v>0</v>
      </c>
      <c r="AE7" s="207" t="e">
        <f>[1]!'AI[3].isCut'</f>
        <v>#REF!</v>
      </c>
      <c r="AF7" s="207" t="e">
        <f>[1]!'AI[3].vCut'</f>
        <v>#REF!</v>
      </c>
      <c r="AG7" s="208"/>
      <c r="AH7" s="207">
        <f>[1]!'AI[3].break.sgn'</f>
        <v>0</v>
      </c>
      <c r="AI7" s="208"/>
      <c r="AJ7" s="207">
        <f>[1]!'AI[3].ZL'</f>
        <v>0</v>
      </c>
      <c r="AK7" s="207">
        <f>[1]!'AI[3].ZH'</f>
        <v>100</v>
      </c>
      <c r="AL7" s="208"/>
      <c r="AM7" s="207">
        <f>[1]!'AI[3].RL.EN'</f>
        <v>1</v>
      </c>
      <c r="AN7" s="207">
        <f>[1]!'AI[3].RL.V'</f>
        <v>15</v>
      </c>
      <c r="AO7" s="207">
        <f>[1]!'AI[3].RL.fix'</f>
        <v>1</v>
      </c>
      <c r="AP7" s="208"/>
      <c r="AQ7" s="207">
        <f>[1]!'AI[3].RH.EN'</f>
        <v>1</v>
      </c>
      <c r="AR7" s="207">
        <f>[1]!'AI[3].RH.V'</f>
        <v>40</v>
      </c>
      <c r="AS7" s="207">
        <f>[1]!'AI[3].RH.fix'</f>
        <v>0</v>
      </c>
      <c r="AT7" s="208"/>
      <c r="AU7" s="207">
        <f>[1]!'AI[3].L.EN'</f>
        <v>1</v>
      </c>
      <c r="AV7" s="207">
        <f>[1]!'AI[3].L.V'</f>
        <v>10</v>
      </c>
      <c r="AW7" s="207">
        <f>[1]!'AI[3].L.fix'</f>
        <v>1</v>
      </c>
      <c r="AX7" s="208"/>
      <c r="AY7" s="207">
        <f>[1]!'AI[3].H.EN'</f>
        <v>1</v>
      </c>
      <c r="AZ7" s="207">
        <f>[1]!'AI[3].H.V'</f>
        <v>55</v>
      </c>
      <c r="BA7" s="207">
        <f>[1]!'AI[3].H.fix'</f>
        <v>0</v>
      </c>
      <c r="BB7" s="208"/>
      <c r="BC7" s="207">
        <f>[1]!'AI[3].LL.EN'</f>
        <v>0</v>
      </c>
      <c r="BD7" s="207">
        <f>[1]!'AI[3].LL.V'</f>
        <v>0</v>
      </c>
      <c r="BE7" s="207">
        <f>[1]!'AI[3].LL.fix'</f>
        <v>0</v>
      </c>
      <c r="BF7" s="208"/>
      <c r="BG7" s="207">
        <f>[1]!'AI[3].HH.EN'</f>
        <v>0</v>
      </c>
      <c r="BH7" s="207">
        <f>[1]!'AI[3].HH.V'</f>
        <v>0</v>
      </c>
      <c r="BI7" s="207">
        <f>[1]!'AI[3].HH.fix'</f>
        <v>0</v>
      </c>
      <c r="BJ7" s="209"/>
      <c r="BK7" s="207">
        <f>[1]!'AI[3].group'</f>
        <v>1</v>
      </c>
      <c r="BL7" s="207">
        <f>[1]!'AI[3].state'</f>
        <v>2</v>
      </c>
      <c r="BM7" s="207">
        <f>[1]!'AI[3].isInvScale'</f>
        <v>0</v>
      </c>
    </row>
    <row r="8" spans="1:65">
      <c r="A8" s="445"/>
      <c r="B8" s="446"/>
      <c r="C8" s="221">
        <v>4</v>
      </c>
      <c r="D8" s="221">
        <v>4</v>
      </c>
      <c r="E8" s="222" t="s">
        <v>373</v>
      </c>
      <c r="F8" s="222" t="s">
        <v>374</v>
      </c>
      <c r="G8" s="207">
        <f>[1]!'AI[4].ZL'</f>
        <v>0</v>
      </c>
      <c r="H8" s="207">
        <f>[1]!'AI[4].ZH'</f>
        <v>100</v>
      </c>
      <c r="I8" s="221" t="s">
        <v>366</v>
      </c>
      <c r="J8" s="207">
        <f>[1]!'AI[4].RL.V'</f>
        <v>10</v>
      </c>
      <c r="K8" s="207">
        <f>[1]!'AI[4].RH.V'</f>
        <v>60</v>
      </c>
      <c r="L8" s="207">
        <f>[1]!'AI[4].L.V'</f>
        <v>10</v>
      </c>
      <c r="M8" s="207">
        <f>[1]!'AI[4].H.V'</f>
        <v>60</v>
      </c>
      <c r="N8" s="207">
        <f>[1]!'AI[4].LL.V'</f>
        <v>0</v>
      </c>
      <c r="O8" s="207">
        <f>[1]!'AI[4].HH.V'</f>
        <v>0</v>
      </c>
      <c r="P8" s="223">
        <v>1</v>
      </c>
      <c r="Q8" s="224">
        <v>0</v>
      </c>
      <c r="R8" s="184"/>
      <c r="S8" s="209"/>
      <c r="T8" s="207">
        <f>[1]!'AI[4].group'</f>
        <v>1</v>
      </c>
      <c r="U8" s="209"/>
      <c r="V8" s="209">
        <f t="shared" si="0"/>
        <v>1</v>
      </c>
      <c r="X8" s="207">
        <f>[1]!'AI[4].EN'</f>
        <v>1</v>
      </c>
      <c r="Y8" s="207">
        <f>[1]!'AI[4].i'</f>
        <v>4.0130650000000001</v>
      </c>
      <c r="Z8" s="207">
        <f>[1]!'AI[4].isForce'</f>
        <v>0</v>
      </c>
      <c r="AA8" s="207" t="e">
        <f>[1]!'AI[4].vRaw'</f>
        <v>#REF!</v>
      </c>
      <c r="AB8" s="207">
        <f>[1]!'AI[4].isCorrect'</f>
        <v>0</v>
      </c>
      <c r="AC8" s="207" t="e">
        <f>[1]!'AI[4].vCorrect'</f>
        <v>#REF!</v>
      </c>
      <c r="AD8" s="207">
        <f>[1]!'AI[4].v'</f>
        <v>0</v>
      </c>
      <c r="AE8" s="207" t="e">
        <f>[1]!'AI[4].isCut'</f>
        <v>#REF!</v>
      </c>
      <c r="AF8" s="207" t="e">
        <f>[1]!'AI[4].vCut'</f>
        <v>#REF!</v>
      </c>
      <c r="AG8" s="208"/>
      <c r="AH8" s="207">
        <f>[1]!'AI[4].break.sgn'</f>
        <v>0</v>
      </c>
      <c r="AI8" s="208"/>
      <c r="AJ8" s="207">
        <f>[1]!'AI[4].ZL'</f>
        <v>0</v>
      </c>
      <c r="AK8" s="207">
        <f>[1]!'AI[4].ZH'</f>
        <v>100</v>
      </c>
      <c r="AL8" s="208"/>
      <c r="AM8" s="207">
        <f>[1]!'AI[4].RL.EN'</f>
        <v>1</v>
      </c>
      <c r="AN8" s="207">
        <f>[1]!'AI[4].RL.V'</f>
        <v>10</v>
      </c>
      <c r="AO8" s="207">
        <f>[1]!'AI[4].RL.fix'</f>
        <v>1</v>
      </c>
      <c r="AP8" s="208"/>
      <c r="AQ8" s="207">
        <f>[1]!'AI[4].RH.EN'</f>
        <v>1</v>
      </c>
      <c r="AR8" s="207">
        <f>[1]!'AI[4].RH.V'</f>
        <v>60</v>
      </c>
      <c r="AS8" s="207">
        <f>[1]!'AI[4].RH.fix'</f>
        <v>0</v>
      </c>
      <c r="AT8" s="208"/>
      <c r="AU8" s="207">
        <f>[1]!'AI[4].L.EN'</f>
        <v>1</v>
      </c>
      <c r="AV8" s="207">
        <f>[1]!'AI[4].L.V'</f>
        <v>10</v>
      </c>
      <c r="AW8" s="207">
        <f>[1]!'AI[4].L.fix'</f>
        <v>1</v>
      </c>
      <c r="AX8" s="208"/>
      <c r="AY8" s="207">
        <f>[1]!'AI[4].H.EN'</f>
        <v>1</v>
      </c>
      <c r="AZ8" s="207">
        <f>[1]!'AI[4].H.V'</f>
        <v>60</v>
      </c>
      <c r="BA8" s="207">
        <f>[1]!'AI[4].H.fix'</f>
        <v>0</v>
      </c>
      <c r="BB8" s="208"/>
      <c r="BC8" s="207">
        <f>[1]!'AI[4].LL.EN'</f>
        <v>0</v>
      </c>
      <c r="BD8" s="207">
        <f>[1]!'AI[4].LL.V'</f>
        <v>0</v>
      </c>
      <c r="BE8" s="207">
        <f>[1]!'AI[4].LL.fix'</f>
        <v>0</v>
      </c>
      <c r="BF8" s="208"/>
      <c r="BG8" s="207">
        <f>[1]!'AI[4].HH.EN'</f>
        <v>0</v>
      </c>
      <c r="BH8" s="207">
        <f>[1]!'AI[4].HH.V'</f>
        <v>0</v>
      </c>
      <c r="BI8" s="207">
        <f>[1]!'AI[4].HH.fix'</f>
        <v>0</v>
      </c>
      <c r="BJ8" s="209"/>
      <c r="BK8" s="207">
        <f>[1]!'AI[4].group'</f>
        <v>1</v>
      </c>
      <c r="BL8" s="207">
        <f>[1]!'AI[4].state'</f>
        <v>2</v>
      </c>
      <c r="BM8" s="207">
        <f>[1]!'AI[4].isInvScale'</f>
        <v>0</v>
      </c>
    </row>
    <row r="9" spans="1:65">
      <c r="A9" s="445"/>
      <c r="B9" s="446"/>
      <c r="C9" s="221">
        <v>5</v>
      </c>
      <c r="D9" s="221">
        <v>5</v>
      </c>
      <c r="E9" s="222" t="s">
        <v>375</v>
      </c>
      <c r="F9" s="222" t="s">
        <v>376</v>
      </c>
      <c r="G9" s="207">
        <f>[1]!'AI[5].ZL'</f>
        <v>0</v>
      </c>
      <c r="H9" s="207">
        <f>[1]!'AI[5].ZH'</f>
        <v>75</v>
      </c>
      <c r="I9" s="221" t="s">
        <v>366</v>
      </c>
      <c r="J9" s="207">
        <f>[1]!'AI[5].RL.V'</f>
        <v>27</v>
      </c>
      <c r="K9" s="207">
        <f>[1]!'AI[5].RH.V'</f>
        <v>60</v>
      </c>
      <c r="L9" s="207">
        <f>[1]!'AI[5].L.V'</f>
        <v>0</v>
      </c>
      <c r="M9" s="207">
        <f>[1]!'AI[5].H.V'</f>
        <v>0</v>
      </c>
      <c r="N9" s="207">
        <f>[1]!'AI[5].LL.V'</f>
        <v>0</v>
      </c>
      <c r="O9" s="207">
        <f>[1]!'AI[5].HH.V'</f>
        <v>0</v>
      </c>
      <c r="P9" s="223">
        <v>1</v>
      </c>
      <c r="Q9" s="224">
        <v>0</v>
      </c>
      <c r="R9" s="184"/>
      <c r="S9" s="209"/>
      <c r="T9" s="207">
        <f>[1]!'AI[5].group'</f>
        <v>1</v>
      </c>
      <c r="U9" s="209"/>
      <c r="V9" s="209">
        <f t="shared" si="0"/>
        <v>0.75</v>
      </c>
      <c r="X9" s="207">
        <f>[1]!'AI[5].EN'</f>
        <v>1</v>
      </c>
      <c r="Y9" s="207">
        <f>[1]!'AI[5].i'</f>
        <v>4.397392E-3</v>
      </c>
      <c r="Z9" s="207">
        <f>[1]!'AI[5].isForce'</f>
        <v>0</v>
      </c>
      <c r="AA9" s="207" t="e">
        <f>[1]!'AI[5].vRaw'</f>
        <v>#REF!</v>
      </c>
      <c r="AB9" s="207">
        <f>[1]!'AI[5].isCorrect'</f>
        <v>0</v>
      </c>
      <c r="AC9" s="207" t="e">
        <f>[1]!'AI[5].vCorrect'</f>
        <v>#REF!</v>
      </c>
      <c r="AD9" s="207">
        <f>[1]!'AI[5].v'</f>
        <v>0</v>
      </c>
      <c r="AE9" s="207" t="e">
        <f>[1]!'AI[5].isCut'</f>
        <v>#REF!</v>
      </c>
      <c r="AF9" s="207" t="e">
        <f>[1]!'AI[5].vCut'</f>
        <v>#REF!</v>
      </c>
      <c r="AG9" s="208"/>
      <c r="AH9" s="207">
        <f>[1]!'AI[5].break.sgn'</f>
        <v>1</v>
      </c>
      <c r="AI9" s="208"/>
      <c r="AJ9" s="207">
        <f>[1]!'AI[5].ZL'</f>
        <v>0</v>
      </c>
      <c r="AK9" s="207">
        <f>[1]!'AI[5].ZH'</f>
        <v>75</v>
      </c>
      <c r="AL9" s="208"/>
      <c r="AM9" s="207">
        <f>[1]!'AI[5].RL.EN'</f>
        <v>1</v>
      </c>
      <c r="AN9" s="207">
        <f>[1]!'AI[5].RL.V'</f>
        <v>27</v>
      </c>
      <c r="AO9" s="207">
        <f>[1]!'AI[5].RL.fix'</f>
        <v>0</v>
      </c>
      <c r="AP9" s="208"/>
      <c r="AQ9" s="207">
        <f>[1]!'AI[5].RH.EN'</f>
        <v>1</v>
      </c>
      <c r="AR9" s="207">
        <f>[1]!'AI[5].RH.V'</f>
        <v>60</v>
      </c>
      <c r="AS9" s="207">
        <f>[1]!'AI[5].RH.fix'</f>
        <v>0</v>
      </c>
      <c r="AT9" s="208"/>
      <c r="AU9" s="207">
        <f>[1]!'AI[5].L.EN'</f>
        <v>0</v>
      </c>
      <c r="AV9" s="207">
        <f>[1]!'AI[5].L.V'</f>
        <v>0</v>
      </c>
      <c r="AW9" s="207">
        <f>[1]!'AI[5].L.fix'</f>
        <v>0</v>
      </c>
      <c r="AX9" s="208"/>
      <c r="AY9" s="207">
        <f>[1]!'AI[5].H.EN'</f>
        <v>0</v>
      </c>
      <c r="AZ9" s="207">
        <f>[1]!'AI[5].H.V'</f>
        <v>0</v>
      </c>
      <c r="BA9" s="207">
        <f>[1]!'AI[5].H.fix'</f>
        <v>0</v>
      </c>
      <c r="BB9" s="208"/>
      <c r="BC9" s="207">
        <f>[1]!'AI[5].LL.EN'</f>
        <v>0</v>
      </c>
      <c r="BD9" s="207">
        <f>[1]!'AI[5].LL.V'</f>
        <v>0</v>
      </c>
      <c r="BE9" s="207">
        <f>[1]!'AI[5].LL.fix'</f>
        <v>0</v>
      </c>
      <c r="BF9" s="208"/>
      <c r="BG9" s="207">
        <f>[1]!'AI[5].HH.EN'</f>
        <v>0</v>
      </c>
      <c r="BH9" s="207">
        <f>[1]!'AI[5].HH.V'</f>
        <v>0</v>
      </c>
      <c r="BI9" s="207">
        <f>[1]!'AI[5].HH.fix'</f>
        <v>0</v>
      </c>
      <c r="BJ9" s="209"/>
      <c r="BK9" s="207">
        <f>[1]!'AI[5].group'</f>
        <v>1</v>
      </c>
      <c r="BL9" s="207">
        <f>[1]!'AI[5].state'</f>
        <v>4</v>
      </c>
      <c r="BM9" s="207">
        <f>[1]!'AI[5].isInvScale'</f>
        <v>0</v>
      </c>
    </row>
    <row r="10" spans="1:65">
      <c r="A10" s="445"/>
      <c r="B10" s="446"/>
      <c r="C10" s="221">
        <v>6</v>
      </c>
      <c r="D10" s="221">
        <v>6</v>
      </c>
      <c r="E10" s="222" t="s">
        <v>377</v>
      </c>
      <c r="F10" s="222" t="s">
        <v>378</v>
      </c>
      <c r="G10" s="207">
        <f>[1]!'AI[6].ZL'</f>
        <v>0</v>
      </c>
      <c r="H10" s="207">
        <f>[1]!'AI[6].ZH'</f>
        <v>2000</v>
      </c>
      <c r="I10" s="221" t="s">
        <v>366</v>
      </c>
      <c r="J10" s="207">
        <f>[1]!'AI[6].RL.V'</f>
        <v>0</v>
      </c>
      <c r="K10" s="207">
        <f>[1]!'AI[6].RH.V'</f>
        <v>1630</v>
      </c>
      <c r="L10" s="207">
        <f>[1]!'AI[6].L.V'</f>
        <v>0</v>
      </c>
      <c r="M10" s="207">
        <f>[1]!'AI[6].H.V'</f>
        <v>0</v>
      </c>
      <c r="N10" s="207">
        <f>[1]!'AI[6].LL.V'</f>
        <v>0</v>
      </c>
      <c r="O10" s="207">
        <f>[1]!'AI[6].HH.V'</f>
        <v>0</v>
      </c>
      <c r="P10" s="223">
        <v>1</v>
      </c>
      <c r="Q10" s="224">
        <v>0</v>
      </c>
      <c r="R10" s="184"/>
      <c r="S10" s="209"/>
      <c r="T10" s="207">
        <f>[1]!'AI[6].group'</f>
        <v>1</v>
      </c>
      <c r="U10" s="209"/>
      <c r="V10" s="209">
        <f t="shared" si="0"/>
        <v>20</v>
      </c>
      <c r="X10" s="207">
        <f>[1]!'AI[6].EN'</f>
        <v>1</v>
      </c>
      <c r="Y10" s="207">
        <f>[1]!'AI[6].i'</f>
        <v>4.08268E-3</v>
      </c>
      <c r="Z10" s="207">
        <f>[1]!'AI[6].isForce'</f>
        <v>0</v>
      </c>
      <c r="AA10" s="207" t="e">
        <f>[1]!'AI[6].vRaw'</f>
        <v>#REF!</v>
      </c>
      <c r="AB10" s="207">
        <f>[1]!'AI[6].isCorrect'</f>
        <v>0</v>
      </c>
      <c r="AC10" s="207" t="e">
        <f>[1]!'AI[6].vCorrect'</f>
        <v>#REF!</v>
      </c>
      <c r="AD10" s="207">
        <f>[1]!'AI[6].v'</f>
        <v>0</v>
      </c>
      <c r="AE10" s="207" t="e">
        <f>[1]!'AI[6].isCut'</f>
        <v>#REF!</v>
      </c>
      <c r="AF10" s="207" t="e">
        <f>[1]!'AI[6].vCut'</f>
        <v>#REF!</v>
      </c>
      <c r="AG10" s="208"/>
      <c r="AH10" s="207">
        <f>[1]!'AI[6].break.sgn'</f>
        <v>1</v>
      </c>
      <c r="AI10" s="208"/>
      <c r="AJ10" s="207">
        <f>[1]!'AI[6].ZL'</f>
        <v>0</v>
      </c>
      <c r="AK10" s="207">
        <f>[1]!'AI[6].ZH'</f>
        <v>2000</v>
      </c>
      <c r="AL10" s="208"/>
      <c r="AM10" s="207">
        <f>[1]!'AI[6].RL.EN'</f>
        <v>1</v>
      </c>
      <c r="AN10" s="207">
        <f>[1]!'AI[6].RL.V'</f>
        <v>0</v>
      </c>
      <c r="AO10" s="207">
        <f>[1]!'AI[6].RL.fix'</f>
        <v>0</v>
      </c>
      <c r="AP10" s="208"/>
      <c r="AQ10" s="207">
        <f>[1]!'AI[6].RH.EN'</f>
        <v>1</v>
      </c>
      <c r="AR10" s="207">
        <f>[1]!'AI[6].RH.V'</f>
        <v>1630</v>
      </c>
      <c r="AS10" s="207">
        <f>[1]!'AI[6].RH.fix'</f>
        <v>0</v>
      </c>
      <c r="AT10" s="208"/>
      <c r="AU10" s="207">
        <f>[1]!'AI[6].L.EN'</f>
        <v>0</v>
      </c>
      <c r="AV10" s="207">
        <f>[1]!'AI[6].L.V'</f>
        <v>0</v>
      </c>
      <c r="AW10" s="207">
        <f>[1]!'AI[6].L.fix'</f>
        <v>0</v>
      </c>
      <c r="AX10" s="208"/>
      <c r="AY10" s="207">
        <f>[1]!'AI[6].H.EN'</f>
        <v>0</v>
      </c>
      <c r="AZ10" s="207">
        <f>[1]!'AI[6].H.V'</f>
        <v>0</v>
      </c>
      <c r="BA10" s="207">
        <f>[1]!'AI[6].H.fix'</f>
        <v>0</v>
      </c>
      <c r="BB10" s="208"/>
      <c r="BC10" s="207">
        <f>[1]!'AI[6].LL.EN'</f>
        <v>0</v>
      </c>
      <c r="BD10" s="207">
        <f>[1]!'AI[6].LL.V'</f>
        <v>0</v>
      </c>
      <c r="BE10" s="207">
        <f>[1]!'AI[6].LL.fix'</f>
        <v>0</v>
      </c>
      <c r="BF10" s="208"/>
      <c r="BG10" s="207">
        <f>[1]!'AI[6].HH.EN'</f>
        <v>0</v>
      </c>
      <c r="BH10" s="207">
        <f>[1]!'AI[6].HH.V'</f>
        <v>0</v>
      </c>
      <c r="BI10" s="207">
        <f>[1]!'AI[6].HH.fix'</f>
        <v>0</v>
      </c>
      <c r="BJ10" s="209"/>
      <c r="BK10" s="207">
        <f>[1]!'AI[6].group'</f>
        <v>1</v>
      </c>
      <c r="BL10" s="207">
        <f>[1]!'AI[6].state'</f>
        <v>4</v>
      </c>
      <c r="BM10" s="207">
        <f>[1]!'AI[6].isInvScale'</f>
        <v>0</v>
      </c>
    </row>
    <row r="11" spans="1:65">
      <c r="A11" s="445"/>
      <c r="B11" s="446"/>
      <c r="C11" s="221">
        <v>7</v>
      </c>
      <c r="D11" s="221">
        <v>7</v>
      </c>
      <c r="E11" s="222" t="s">
        <v>379</v>
      </c>
      <c r="F11" s="222" t="s">
        <v>380</v>
      </c>
      <c r="G11" s="207">
        <f>[1]!'AI[7].ZL'</f>
        <v>0</v>
      </c>
      <c r="H11" s="207">
        <f>[1]!'AI[7].ZH'</f>
        <v>300</v>
      </c>
      <c r="I11" s="221" t="s">
        <v>366</v>
      </c>
      <c r="J11" s="207">
        <f>[1]!'AI[7].RL.V'</f>
        <v>0</v>
      </c>
      <c r="K11" s="207">
        <f>[1]!'AI[7].RH.V'</f>
        <v>240</v>
      </c>
      <c r="L11" s="207">
        <f>[1]!'AI[7].L.V'</f>
        <v>0</v>
      </c>
      <c r="M11" s="207">
        <f>[1]!'AI[7].H.V'</f>
        <v>170</v>
      </c>
      <c r="N11" s="207">
        <f>[1]!'AI[7].LL.V'</f>
        <v>0</v>
      </c>
      <c r="O11" s="207">
        <f>[1]!'AI[7].HH.V'</f>
        <v>240</v>
      </c>
      <c r="P11" s="223">
        <v>1</v>
      </c>
      <c r="Q11" s="224">
        <v>0</v>
      </c>
      <c r="R11" s="184"/>
      <c r="S11" s="209"/>
      <c r="T11" s="207">
        <f>[1]!'AI[7].group'</f>
        <v>1</v>
      </c>
      <c r="U11" s="209"/>
      <c r="V11" s="209">
        <f t="shared" si="0"/>
        <v>3</v>
      </c>
      <c r="X11" s="207">
        <f>[1]!'AI[7].EN'</f>
        <v>1</v>
      </c>
      <c r="Y11" s="207">
        <f>[1]!'AI[7].i'</f>
        <v>4.08268E-3</v>
      </c>
      <c r="Z11" s="207">
        <f>[1]!'AI[7].isForce'</f>
        <v>0</v>
      </c>
      <c r="AA11" s="207" t="e">
        <f>[1]!'AI[7].vRaw'</f>
        <v>#REF!</v>
      </c>
      <c r="AB11" s="207">
        <f>[1]!'AI[7].isCorrect'</f>
        <v>0</v>
      </c>
      <c r="AC11" s="207" t="e">
        <f>[1]!'AI[7].vCorrect'</f>
        <v>#REF!</v>
      </c>
      <c r="AD11" s="207">
        <f>[1]!'AI[7].v'</f>
        <v>0</v>
      </c>
      <c r="AE11" s="207" t="e">
        <f>[1]!'AI[7].isCut'</f>
        <v>#REF!</v>
      </c>
      <c r="AF11" s="207" t="e">
        <f>[1]!'AI[7].vCut'</f>
        <v>#REF!</v>
      </c>
      <c r="AG11" s="208"/>
      <c r="AH11" s="207">
        <f>[1]!'AI[7].break.sgn'</f>
        <v>1</v>
      </c>
      <c r="AI11" s="208"/>
      <c r="AJ11" s="207">
        <f>[1]!'AI[7].ZL'</f>
        <v>0</v>
      </c>
      <c r="AK11" s="207">
        <f>[1]!'AI[7].ZH'</f>
        <v>300</v>
      </c>
      <c r="AL11" s="208"/>
      <c r="AM11" s="207">
        <f>[1]!'AI[7].RL.EN'</f>
        <v>1</v>
      </c>
      <c r="AN11" s="207">
        <f>[1]!'AI[7].RL.V'</f>
        <v>0</v>
      </c>
      <c r="AO11" s="207">
        <f>[1]!'AI[7].RL.fix'</f>
        <v>0</v>
      </c>
      <c r="AP11" s="208"/>
      <c r="AQ11" s="207">
        <f>[1]!'AI[7].RH.EN'</f>
        <v>1</v>
      </c>
      <c r="AR11" s="207">
        <f>[1]!'AI[7].RH.V'</f>
        <v>240</v>
      </c>
      <c r="AS11" s="207">
        <f>[1]!'AI[7].RH.fix'</f>
        <v>0</v>
      </c>
      <c r="AT11" s="208"/>
      <c r="AU11" s="207">
        <f>[1]!'AI[7].L.EN'</f>
        <v>0</v>
      </c>
      <c r="AV11" s="207">
        <f>[1]!'AI[7].L.V'</f>
        <v>0</v>
      </c>
      <c r="AW11" s="207">
        <f>[1]!'AI[7].L.fix'</f>
        <v>0</v>
      </c>
      <c r="AX11" s="208"/>
      <c r="AY11" s="207">
        <f>[1]!'AI[7].H.EN'</f>
        <v>1</v>
      </c>
      <c r="AZ11" s="207">
        <f>[1]!'AI[7].H.V'</f>
        <v>170</v>
      </c>
      <c r="BA11" s="207">
        <f>[1]!'AI[7].H.fix'</f>
        <v>0</v>
      </c>
      <c r="BB11" s="208"/>
      <c r="BC11" s="207">
        <f>[1]!'AI[7].LL.EN'</f>
        <v>0</v>
      </c>
      <c r="BD11" s="207">
        <f>[1]!'AI[7].LL.V'</f>
        <v>0</v>
      </c>
      <c r="BE11" s="207">
        <f>[1]!'AI[7].LL.fix'</f>
        <v>0</v>
      </c>
      <c r="BF11" s="208"/>
      <c r="BG11" s="207">
        <f>[1]!'AI[7].HH.EN'</f>
        <v>1</v>
      </c>
      <c r="BH11" s="207">
        <f>[1]!'AI[7].HH.V'</f>
        <v>240</v>
      </c>
      <c r="BI11" s="207">
        <f>[1]!'AI[7].HH.fix'</f>
        <v>0</v>
      </c>
      <c r="BJ11" s="209"/>
      <c r="BK11" s="207">
        <f>[1]!'AI[7].group'</f>
        <v>1</v>
      </c>
      <c r="BL11" s="207">
        <f>[1]!'AI[7].state'</f>
        <v>4</v>
      </c>
      <c r="BM11" s="207">
        <f>[1]!'AI[7].isInvScale'</f>
        <v>0</v>
      </c>
    </row>
    <row r="12" spans="1:65">
      <c r="A12" s="445"/>
      <c r="B12" s="446"/>
      <c r="C12" s="221">
        <v>8</v>
      </c>
      <c r="D12" s="221">
        <v>8</v>
      </c>
      <c r="E12" s="222" t="s">
        <v>381</v>
      </c>
      <c r="F12" s="222" t="s">
        <v>382</v>
      </c>
      <c r="G12" s="207">
        <f>[1]!'AI[8].ZL'</f>
        <v>0</v>
      </c>
      <c r="H12" s="207">
        <f>[1]!'AI[8].ZH'</f>
        <v>300</v>
      </c>
      <c r="I12" s="221" t="s">
        <v>383</v>
      </c>
      <c r="J12" s="207">
        <f>[1]!'AI[8].RL.V'</f>
        <v>130</v>
      </c>
      <c r="K12" s="207">
        <f>[1]!'AI[8].RH.V'</f>
        <v>280</v>
      </c>
      <c r="L12" s="207">
        <f>[1]!'AI[8].L.V'</f>
        <v>0</v>
      </c>
      <c r="M12" s="207">
        <f>[1]!'AI[8].H.V'</f>
        <v>0</v>
      </c>
      <c r="N12" s="207">
        <f>[1]!'AI[8].LL.V'</f>
        <v>0</v>
      </c>
      <c r="O12" s="207">
        <f>[1]!'AI[8].HH.V'</f>
        <v>0</v>
      </c>
      <c r="P12" s="223">
        <v>1</v>
      </c>
      <c r="Q12" s="224"/>
      <c r="R12" s="184"/>
      <c r="S12" s="209"/>
      <c r="T12" s="207">
        <f>[1]!'AI[8].group'</f>
        <v>1</v>
      </c>
      <c r="U12" s="209"/>
      <c r="V12" s="209">
        <f t="shared" si="0"/>
        <v>3</v>
      </c>
      <c r="X12" s="207">
        <f>[1]!'AI[8].EN'</f>
        <v>1</v>
      </c>
      <c r="Y12" s="207">
        <f>[1]!'AI[8].i'</f>
        <v>2.8266910000000001E-3</v>
      </c>
      <c r="Z12" s="207">
        <f>[1]!'AI[8].isForce'</f>
        <v>0</v>
      </c>
      <c r="AA12" s="207" t="e">
        <f>[1]!'AI[8].vRaw'</f>
        <v>#REF!</v>
      </c>
      <c r="AB12" s="207">
        <f>[1]!'AI[8].isCorrect'</f>
        <v>0</v>
      </c>
      <c r="AC12" s="207" t="e">
        <f>[1]!'AI[8].vCorrect'</f>
        <v>#REF!</v>
      </c>
      <c r="AD12" s="207">
        <f>[1]!'AI[8].v'</f>
        <v>0</v>
      </c>
      <c r="AE12" s="207" t="e">
        <f>[1]!'AI[8].isCut'</f>
        <v>#REF!</v>
      </c>
      <c r="AF12" s="207" t="e">
        <f>[1]!'AI[8].vCut'</f>
        <v>#REF!</v>
      </c>
      <c r="AG12" s="208"/>
      <c r="AH12" s="207">
        <f>[1]!'AI[8].break.sgn'</f>
        <v>1</v>
      </c>
      <c r="AI12" s="208"/>
      <c r="AJ12" s="207">
        <f>[1]!'AI[8].ZL'</f>
        <v>0</v>
      </c>
      <c r="AK12" s="207">
        <f>[1]!'AI[8].ZH'</f>
        <v>300</v>
      </c>
      <c r="AL12" s="208"/>
      <c r="AM12" s="207">
        <f>[1]!'AI[8].RL.EN'</f>
        <v>1</v>
      </c>
      <c r="AN12" s="207">
        <f>[1]!'AI[8].RL.V'</f>
        <v>130</v>
      </c>
      <c r="AO12" s="207">
        <f>[1]!'AI[8].RL.fix'</f>
        <v>0</v>
      </c>
      <c r="AP12" s="208"/>
      <c r="AQ12" s="207">
        <f>[1]!'AI[8].RH.EN'</f>
        <v>1</v>
      </c>
      <c r="AR12" s="207">
        <f>[1]!'AI[8].RH.V'</f>
        <v>280</v>
      </c>
      <c r="AS12" s="207">
        <f>[1]!'AI[8].RH.fix'</f>
        <v>0</v>
      </c>
      <c r="AT12" s="208"/>
      <c r="AU12" s="207">
        <f>[1]!'AI[8].L.EN'</f>
        <v>0</v>
      </c>
      <c r="AV12" s="207">
        <f>[1]!'AI[8].L.V'</f>
        <v>0</v>
      </c>
      <c r="AW12" s="207">
        <f>[1]!'AI[8].L.fix'</f>
        <v>0</v>
      </c>
      <c r="AX12" s="208"/>
      <c r="AY12" s="207">
        <f>[1]!'AI[8].H.EN'</f>
        <v>0</v>
      </c>
      <c r="AZ12" s="207">
        <f>[1]!'AI[8].H.V'</f>
        <v>0</v>
      </c>
      <c r="BA12" s="207">
        <f>[1]!'AI[8].H.fix'</f>
        <v>0</v>
      </c>
      <c r="BB12" s="208"/>
      <c r="BC12" s="207">
        <f>[1]!'AI[8].LL.EN'</f>
        <v>0</v>
      </c>
      <c r="BD12" s="207">
        <f>[1]!'AI[8].LL.V'</f>
        <v>0</v>
      </c>
      <c r="BE12" s="207">
        <f>[1]!'AI[8].LL.fix'</f>
        <v>0</v>
      </c>
      <c r="BF12" s="208"/>
      <c r="BG12" s="207">
        <f>[1]!'AI[8].HH.EN'</f>
        <v>0</v>
      </c>
      <c r="BH12" s="207">
        <f>[1]!'AI[8].HH.V'</f>
        <v>0</v>
      </c>
      <c r="BI12" s="207">
        <f>[1]!'AI[8].HH.fix'</f>
        <v>0</v>
      </c>
      <c r="BJ12" s="209"/>
      <c r="BK12" s="207">
        <f>[1]!'AI[8].group'</f>
        <v>1</v>
      </c>
      <c r="BL12" s="207">
        <f>[1]!'AI[8].state'</f>
        <v>4</v>
      </c>
      <c r="BM12" s="207">
        <f>[1]!'AI[8].isInvScale'</f>
        <v>0</v>
      </c>
    </row>
    <row r="13" spans="1:65">
      <c r="A13" s="445"/>
      <c r="B13" s="446"/>
      <c r="C13" s="221">
        <v>9</v>
      </c>
      <c r="D13" s="221">
        <v>9</v>
      </c>
      <c r="E13" s="222" t="s">
        <v>384</v>
      </c>
      <c r="F13" s="222" t="s">
        <v>385</v>
      </c>
      <c r="G13" s="207">
        <f>[1]!'AI[9].ZL'</f>
        <v>0</v>
      </c>
      <c r="H13" s="207">
        <f>[1]!'AI[9].ZH'</f>
        <v>200</v>
      </c>
      <c r="I13" s="221" t="s">
        <v>383</v>
      </c>
      <c r="J13" s="207">
        <f>[1]!'AI[9].RL.V'</f>
        <v>115</v>
      </c>
      <c r="K13" s="207">
        <f>[1]!'AI[9].RH.V'</f>
        <v>155</v>
      </c>
      <c r="L13" s="207">
        <f>[1]!'AI[9].L.V'</f>
        <v>0</v>
      </c>
      <c r="M13" s="207">
        <f>[1]!'AI[9].H.V'</f>
        <v>156</v>
      </c>
      <c r="N13" s="207">
        <f>[1]!'AI[9].LL.V'</f>
        <v>0</v>
      </c>
      <c r="O13" s="207">
        <f>[1]!'AI[9].HH.V'</f>
        <v>0</v>
      </c>
      <c r="P13" s="223">
        <v>1</v>
      </c>
      <c r="Q13" s="224"/>
      <c r="R13" s="184"/>
      <c r="S13" s="209"/>
      <c r="T13" s="207">
        <f>[1]!'AI[9].group'</f>
        <v>1</v>
      </c>
      <c r="U13" s="209"/>
      <c r="V13" s="209">
        <f t="shared" si="0"/>
        <v>2</v>
      </c>
      <c r="X13" s="207">
        <f>[1]!'AI[9].EN'</f>
        <v>1</v>
      </c>
      <c r="Y13" s="207">
        <f>[1]!'AI[9].i'</f>
        <v>2.5129319999999998E-3</v>
      </c>
      <c r="Z13" s="207">
        <f>[1]!'AI[9].isForce'</f>
        <v>0</v>
      </c>
      <c r="AA13" s="207" t="e">
        <f>[1]!'AI[9].vRaw'</f>
        <v>#REF!</v>
      </c>
      <c r="AB13" s="207">
        <f>[1]!'AI[9].isCorrect'</f>
        <v>0</v>
      </c>
      <c r="AC13" s="207" t="e">
        <f>[1]!'AI[9].vCorrect'</f>
        <v>#REF!</v>
      </c>
      <c r="AD13" s="207">
        <f>[1]!'AI[9].v'</f>
        <v>0</v>
      </c>
      <c r="AE13" s="207" t="e">
        <f>[1]!'AI[9].isCut'</f>
        <v>#REF!</v>
      </c>
      <c r="AF13" s="207" t="e">
        <f>[1]!'AI[9].vCut'</f>
        <v>#REF!</v>
      </c>
      <c r="AG13" s="208"/>
      <c r="AH13" s="207">
        <f>[1]!'AI[9].break.sgn'</f>
        <v>1</v>
      </c>
      <c r="AI13" s="208"/>
      <c r="AJ13" s="207">
        <f>[1]!'AI[9].ZL'</f>
        <v>0</v>
      </c>
      <c r="AK13" s="207">
        <f>[1]!'AI[9].ZH'</f>
        <v>200</v>
      </c>
      <c r="AL13" s="208"/>
      <c r="AM13" s="207">
        <f>[1]!'AI[9].RL.EN'</f>
        <v>1</v>
      </c>
      <c r="AN13" s="207">
        <f>[1]!'AI[9].RL.V'</f>
        <v>115</v>
      </c>
      <c r="AO13" s="207">
        <f>[1]!'AI[9].RL.fix'</f>
        <v>0</v>
      </c>
      <c r="AP13" s="208"/>
      <c r="AQ13" s="207">
        <f>[1]!'AI[9].RH.EN'</f>
        <v>1</v>
      </c>
      <c r="AR13" s="207">
        <f>[1]!'AI[9].RH.V'</f>
        <v>155</v>
      </c>
      <c r="AS13" s="207">
        <f>[1]!'AI[9].RH.fix'</f>
        <v>0</v>
      </c>
      <c r="AT13" s="208"/>
      <c r="AU13" s="207">
        <f>[1]!'AI[9].L.EN'</f>
        <v>0</v>
      </c>
      <c r="AV13" s="207">
        <f>[1]!'AI[9].L.V'</f>
        <v>0</v>
      </c>
      <c r="AW13" s="207">
        <f>[1]!'AI[9].L.fix'</f>
        <v>0</v>
      </c>
      <c r="AX13" s="208"/>
      <c r="AY13" s="207">
        <f>[1]!'AI[9].H.EN'</f>
        <v>1</v>
      </c>
      <c r="AZ13" s="207">
        <f>[1]!'AI[9].H.V'</f>
        <v>156</v>
      </c>
      <c r="BA13" s="207">
        <f>[1]!'AI[9].H.fix'</f>
        <v>0</v>
      </c>
      <c r="BB13" s="208"/>
      <c r="BC13" s="207">
        <f>[1]!'AI[9].LL.EN'</f>
        <v>0</v>
      </c>
      <c r="BD13" s="207">
        <f>[1]!'AI[9].LL.V'</f>
        <v>0</v>
      </c>
      <c r="BE13" s="207">
        <f>[1]!'AI[9].LL.fix'</f>
        <v>0</v>
      </c>
      <c r="BF13" s="208"/>
      <c r="BG13" s="207">
        <f>[1]!'AI[9].HH.EN'</f>
        <v>0</v>
      </c>
      <c r="BH13" s="207">
        <f>[1]!'AI[9].HH.V'</f>
        <v>0</v>
      </c>
      <c r="BI13" s="207">
        <f>[1]!'AI[9].HH.fix'</f>
        <v>0</v>
      </c>
      <c r="BJ13" s="209"/>
      <c r="BK13" s="207">
        <f>[1]!'AI[9].group'</f>
        <v>1</v>
      </c>
      <c r="BL13" s="207">
        <f>[1]!'AI[9].state'</f>
        <v>4</v>
      </c>
      <c r="BM13" s="207">
        <f>[1]!'AI[9].isInvScale'</f>
        <v>0</v>
      </c>
    </row>
    <row r="14" spans="1:65">
      <c r="A14" s="445"/>
      <c r="B14" s="446"/>
      <c r="C14" s="221">
        <v>10</v>
      </c>
      <c r="D14" s="221">
        <v>10</v>
      </c>
      <c r="E14" s="222" t="s">
        <v>386</v>
      </c>
      <c r="F14" s="222" t="s">
        <v>387</v>
      </c>
      <c r="G14" s="207">
        <f>[1]!'AI[10].ZL'</f>
        <v>0</v>
      </c>
      <c r="H14" s="207">
        <f>[1]!'AI[10].ZH'</f>
        <v>350</v>
      </c>
      <c r="I14" s="221" t="s">
        <v>366</v>
      </c>
      <c r="J14" s="207">
        <f>[1]!'AI[10].RL.V'</f>
        <v>32</v>
      </c>
      <c r="K14" s="207">
        <f>[1]!'AI[10].RH.V'</f>
        <v>320</v>
      </c>
      <c r="L14" s="207">
        <f>[1]!'AI[10].L.V'</f>
        <v>0</v>
      </c>
      <c r="M14" s="207">
        <f>[1]!'AI[10].H.V'</f>
        <v>0</v>
      </c>
      <c r="N14" s="207">
        <f>[1]!'AI[10].LL.V'</f>
        <v>0</v>
      </c>
      <c r="O14" s="207">
        <f>[1]!'AI[10].HH.V'</f>
        <v>0</v>
      </c>
      <c r="P14" s="223">
        <v>4</v>
      </c>
      <c r="Q14" s="224">
        <v>3</v>
      </c>
      <c r="R14" s="184"/>
      <c r="S14" s="210"/>
      <c r="T14" s="207">
        <f>[1]!'AI[10].group'</f>
        <v>1</v>
      </c>
      <c r="U14" s="210"/>
      <c r="V14" s="209">
        <f t="shared" si="0"/>
        <v>3.5</v>
      </c>
      <c r="X14" s="207">
        <f>[1]!'AI[10].EN'</f>
        <v>0</v>
      </c>
      <c r="Y14" s="207">
        <f>[1]!'AI[10].i'</f>
        <v>0</v>
      </c>
      <c r="Z14" s="207">
        <f>[1]!'AI[10].isForce'</f>
        <v>0</v>
      </c>
      <c r="AA14" s="207" t="e">
        <f>[1]!'AI[10].vRaw'</f>
        <v>#REF!</v>
      </c>
      <c r="AB14" s="207">
        <f>[1]!'AI[10].isCorrect'</f>
        <v>0</v>
      </c>
      <c r="AC14" s="207" t="e">
        <f>[1]!'AI[10].vCorrect'</f>
        <v>#REF!</v>
      </c>
      <c r="AD14" s="207">
        <f>[1]!'AI[10].v'</f>
        <v>0</v>
      </c>
      <c r="AE14" s="207" t="e">
        <f>[1]!'AI[10].isCut'</f>
        <v>#REF!</v>
      </c>
      <c r="AF14" s="207" t="e">
        <f>[1]!'AI[10].vCut'</f>
        <v>#REF!</v>
      </c>
      <c r="AG14" s="208"/>
      <c r="AH14" s="207">
        <f>[1]!'AI[10].break.sgn'</f>
        <v>0</v>
      </c>
      <c r="AI14" s="208"/>
      <c r="AJ14" s="207">
        <f>[1]!'AI[10].ZL'</f>
        <v>0</v>
      </c>
      <c r="AK14" s="207">
        <f>[1]!'AI[10].ZH'</f>
        <v>350</v>
      </c>
      <c r="AL14" s="208"/>
      <c r="AM14" s="207">
        <f>[1]!'AI[10].RL.EN'</f>
        <v>1</v>
      </c>
      <c r="AN14" s="207">
        <f>[1]!'AI[10].RL.V'</f>
        <v>32</v>
      </c>
      <c r="AO14" s="207">
        <f>[1]!'AI[10].RL.fix'</f>
        <v>1</v>
      </c>
      <c r="AP14" s="208"/>
      <c r="AQ14" s="207">
        <f>[1]!'AI[10].RH.EN'</f>
        <v>1</v>
      </c>
      <c r="AR14" s="207">
        <f>[1]!'AI[10].RH.V'</f>
        <v>320</v>
      </c>
      <c r="AS14" s="207">
        <f>[1]!'AI[10].RH.fix'</f>
        <v>0</v>
      </c>
      <c r="AT14" s="208"/>
      <c r="AU14" s="207">
        <f>[1]!'AI[10].L.EN'</f>
        <v>0</v>
      </c>
      <c r="AV14" s="207">
        <f>[1]!'AI[10].L.V'</f>
        <v>0</v>
      </c>
      <c r="AW14" s="207">
        <f>[1]!'AI[10].L.fix'</f>
        <v>0</v>
      </c>
      <c r="AX14" s="208"/>
      <c r="AY14" s="207">
        <f>[1]!'AI[10].H.EN'</f>
        <v>0</v>
      </c>
      <c r="AZ14" s="207">
        <f>[1]!'AI[10].H.V'</f>
        <v>0</v>
      </c>
      <c r="BA14" s="207">
        <f>[1]!'AI[10].H.fix'</f>
        <v>0</v>
      </c>
      <c r="BB14" s="208"/>
      <c r="BC14" s="207">
        <f>[1]!'AI[10].LL.EN'</f>
        <v>0</v>
      </c>
      <c r="BD14" s="207">
        <f>[1]!'AI[10].LL.V'</f>
        <v>0</v>
      </c>
      <c r="BE14" s="207">
        <f>[1]!'AI[10].LL.fix'</f>
        <v>0</v>
      </c>
      <c r="BF14" s="208"/>
      <c r="BG14" s="207">
        <f>[1]!'AI[10].HH.EN'</f>
        <v>0</v>
      </c>
      <c r="BH14" s="207">
        <f>[1]!'AI[10].HH.V'</f>
        <v>0</v>
      </c>
      <c r="BI14" s="207">
        <f>[1]!'AI[10].HH.fix'</f>
        <v>0</v>
      </c>
      <c r="BJ14" s="210"/>
      <c r="BK14" s="207">
        <f>[1]!'AI[10].group'</f>
        <v>1</v>
      </c>
      <c r="BL14" s="207">
        <f>[1]!'AI[10].state'</f>
        <v>4</v>
      </c>
      <c r="BM14" s="207">
        <f>[1]!'AI[10].isInvScale'</f>
        <v>0</v>
      </c>
    </row>
    <row r="15" spans="1:65">
      <c r="A15" s="445"/>
      <c r="B15" s="446"/>
      <c r="C15" s="221">
        <v>11</v>
      </c>
      <c r="D15" s="221">
        <v>11</v>
      </c>
      <c r="E15" s="222" t="s">
        <v>388</v>
      </c>
      <c r="F15" s="222" t="s">
        <v>389</v>
      </c>
      <c r="G15" s="207">
        <f>[1]!'AI[11].ZL'</f>
        <v>0</v>
      </c>
      <c r="H15" s="207">
        <f>[1]!'AI[11].ZH'</f>
        <v>350</v>
      </c>
      <c r="I15" s="221" t="s">
        <v>366</v>
      </c>
      <c r="J15" s="207">
        <f>[1]!'AI[11].RL.V'</f>
        <v>32</v>
      </c>
      <c r="K15" s="207">
        <f>[1]!'AI[11].RH.V'</f>
        <v>320</v>
      </c>
      <c r="L15" s="207">
        <f>[1]!'AI[11].L.V'</f>
        <v>0</v>
      </c>
      <c r="M15" s="207">
        <f>[1]!'AI[11].H.V'</f>
        <v>0</v>
      </c>
      <c r="N15" s="207">
        <f>[1]!'AI[11].LL.V'</f>
        <v>0</v>
      </c>
      <c r="O15" s="207">
        <f>[1]!'AI[11].HH.V'</f>
        <v>0</v>
      </c>
      <c r="P15" s="223">
        <v>4</v>
      </c>
      <c r="Q15" s="224">
        <v>3</v>
      </c>
      <c r="R15" s="184"/>
      <c r="S15" s="210"/>
      <c r="T15" s="207">
        <f>[1]!'AI[11].group'</f>
        <v>1</v>
      </c>
      <c r="U15" s="210"/>
      <c r="V15" s="209">
        <f t="shared" si="0"/>
        <v>3.5</v>
      </c>
      <c r="X15" s="207">
        <f>[1]!'AI[11].EN'</f>
        <v>0</v>
      </c>
      <c r="Y15" s="207">
        <f>[1]!'AI[11].i'</f>
        <v>0</v>
      </c>
      <c r="Z15" s="207">
        <f>[1]!'AI[11].isForce'</f>
        <v>0</v>
      </c>
      <c r="AA15" s="207" t="e">
        <f>[1]!'AI[11].vRaw'</f>
        <v>#REF!</v>
      </c>
      <c r="AB15" s="207">
        <f>[1]!'AI[11].isCorrect'</f>
        <v>0</v>
      </c>
      <c r="AC15" s="207" t="e">
        <f>[1]!'AI[11].vCorrect'</f>
        <v>#REF!</v>
      </c>
      <c r="AD15" s="207">
        <f>[1]!'AI[11].v'</f>
        <v>0</v>
      </c>
      <c r="AE15" s="207" t="e">
        <f>[1]!'AI[11].isCut'</f>
        <v>#REF!</v>
      </c>
      <c r="AF15" s="207" t="e">
        <f>[1]!'AI[11].vCut'</f>
        <v>#REF!</v>
      </c>
      <c r="AG15" s="208"/>
      <c r="AH15" s="207">
        <f>[1]!'AI[11].break.sgn'</f>
        <v>0</v>
      </c>
      <c r="AI15" s="208"/>
      <c r="AJ15" s="207">
        <f>[1]!'AI[11].ZL'</f>
        <v>0</v>
      </c>
      <c r="AK15" s="207">
        <f>[1]!'AI[11].ZH'</f>
        <v>350</v>
      </c>
      <c r="AL15" s="208"/>
      <c r="AM15" s="207">
        <f>[1]!'AI[11].RL.EN'</f>
        <v>1</v>
      </c>
      <c r="AN15" s="207">
        <f>[1]!'AI[11].RL.V'</f>
        <v>32</v>
      </c>
      <c r="AO15" s="207">
        <f>[1]!'AI[11].RL.fix'</f>
        <v>1</v>
      </c>
      <c r="AP15" s="208"/>
      <c r="AQ15" s="207">
        <f>[1]!'AI[11].RH.EN'</f>
        <v>1</v>
      </c>
      <c r="AR15" s="207">
        <f>[1]!'AI[11].RH.V'</f>
        <v>320</v>
      </c>
      <c r="AS15" s="207">
        <f>[1]!'AI[11].RH.fix'</f>
        <v>0</v>
      </c>
      <c r="AT15" s="208"/>
      <c r="AU15" s="207">
        <f>[1]!'AI[11].L.EN'</f>
        <v>0</v>
      </c>
      <c r="AV15" s="207">
        <f>[1]!'AI[11].L.V'</f>
        <v>0</v>
      </c>
      <c r="AW15" s="207">
        <f>[1]!'AI[11].L.fix'</f>
        <v>0</v>
      </c>
      <c r="AX15" s="208"/>
      <c r="AY15" s="207">
        <f>[1]!'AI[11].H.EN'</f>
        <v>0</v>
      </c>
      <c r="AZ15" s="207">
        <f>[1]!'AI[11].H.V'</f>
        <v>0</v>
      </c>
      <c r="BA15" s="207">
        <f>[1]!'AI[11].H.fix'</f>
        <v>0</v>
      </c>
      <c r="BB15" s="208"/>
      <c r="BC15" s="207">
        <f>[1]!'AI[11].LL.EN'</f>
        <v>0</v>
      </c>
      <c r="BD15" s="207">
        <f>[1]!'AI[11].LL.V'</f>
        <v>0</v>
      </c>
      <c r="BE15" s="207">
        <f>[1]!'AI[11].LL.fix'</f>
        <v>0</v>
      </c>
      <c r="BF15" s="208"/>
      <c r="BG15" s="207">
        <f>[1]!'AI[11].HH.EN'</f>
        <v>0</v>
      </c>
      <c r="BH15" s="207">
        <f>[1]!'AI[11].HH.V'</f>
        <v>0</v>
      </c>
      <c r="BI15" s="207">
        <f>[1]!'AI[11].HH.fix'</f>
        <v>0</v>
      </c>
      <c r="BJ15" s="210"/>
      <c r="BK15" s="207">
        <f>[1]!'AI[11].group'</f>
        <v>1</v>
      </c>
      <c r="BL15" s="207">
        <f>[1]!'AI[11].state'</f>
        <v>4</v>
      </c>
      <c r="BM15" s="207">
        <f>[1]!'AI[11].isInvScale'</f>
        <v>0</v>
      </c>
    </row>
    <row r="16" spans="1:65">
      <c r="A16" s="445"/>
      <c r="B16" s="446"/>
      <c r="C16" s="221">
        <v>12</v>
      </c>
      <c r="D16" s="221">
        <v>12</v>
      </c>
      <c r="E16" s="222" t="s">
        <v>390</v>
      </c>
      <c r="F16" s="222" t="s">
        <v>391</v>
      </c>
      <c r="G16" s="207">
        <f>[1]!'AI[12].ZL'</f>
        <v>0</v>
      </c>
      <c r="H16" s="207">
        <f>[1]!'AI[12].ZH'</f>
        <v>20</v>
      </c>
      <c r="I16" s="221" t="s">
        <v>366</v>
      </c>
      <c r="J16" s="207">
        <f>[1]!'AI[12].RL.V'</f>
        <v>5</v>
      </c>
      <c r="K16" s="207">
        <f>[1]!'AI[12].RH.V'</f>
        <v>13</v>
      </c>
      <c r="L16" s="207">
        <f>[1]!'AI[12].L.V'</f>
        <v>0</v>
      </c>
      <c r="M16" s="207">
        <f>[1]!'AI[12].H.V'</f>
        <v>13</v>
      </c>
      <c r="N16" s="207">
        <f>[1]!'AI[12].LL.V'</f>
        <v>0</v>
      </c>
      <c r="O16" s="207">
        <f>[1]!'AI[12].HH.V'</f>
        <v>14</v>
      </c>
      <c r="P16" s="223">
        <v>4</v>
      </c>
      <c r="Q16" s="224">
        <v>3</v>
      </c>
      <c r="R16" s="184"/>
      <c r="S16" s="210"/>
      <c r="T16" s="207">
        <f>[1]!'AI[12].group'</f>
        <v>1</v>
      </c>
      <c r="U16" s="210"/>
      <c r="V16" s="209">
        <f t="shared" si="0"/>
        <v>0.2</v>
      </c>
      <c r="X16" s="207">
        <f>[1]!'AI[12].EN'</f>
        <v>1</v>
      </c>
      <c r="Y16" s="207">
        <f>[1]!'AI[12].i'</f>
        <v>2.8266910000000001E-3</v>
      </c>
      <c r="Z16" s="207">
        <f>[1]!'AI[12].isForce'</f>
        <v>0</v>
      </c>
      <c r="AA16" s="207" t="e">
        <f>[1]!'AI[12].vRaw'</f>
        <v>#REF!</v>
      </c>
      <c r="AB16" s="207">
        <f>[1]!'AI[12].isCorrect'</f>
        <v>0</v>
      </c>
      <c r="AC16" s="207" t="e">
        <f>[1]!'AI[12].vCorrect'</f>
        <v>#REF!</v>
      </c>
      <c r="AD16" s="207">
        <f>[1]!'AI[12].v'</f>
        <v>0</v>
      </c>
      <c r="AE16" s="207" t="e">
        <f>[1]!'AI[12].isCut'</f>
        <v>#REF!</v>
      </c>
      <c r="AF16" s="207" t="e">
        <f>[1]!'AI[12].vCut'</f>
        <v>#REF!</v>
      </c>
      <c r="AG16" s="208"/>
      <c r="AH16" s="207">
        <f>[1]!'AI[12].break.sgn'</f>
        <v>1</v>
      </c>
      <c r="AI16" s="208"/>
      <c r="AJ16" s="207">
        <f>[1]!'AI[12].ZL'</f>
        <v>0</v>
      </c>
      <c r="AK16" s="207">
        <f>[1]!'AI[12].ZH'</f>
        <v>20</v>
      </c>
      <c r="AL16" s="208"/>
      <c r="AM16" s="207">
        <f>[1]!'AI[12].RL.EN'</f>
        <v>1</v>
      </c>
      <c r="AN16" s="207">
        <f>[1]!'AI[12].RL.V'</f>
        <v>5</v>
      </c>
      <c r="AO16" s="207">
        <f>[1]!'AI[12].RL.fix'</f>
        <v>0</v>
      </c>
      <c r="AP16" s="208"/>
      <c r="AQ16" s="207">
        <f>[1]!'AI[12].RH.EN'</f>
        <v>1</v>
      </c>
      <c r="AR16" s="207">
        <f>[1]!'AI[12].RH.V'</f>
        <v>13</v>
      </c>
      <c r="AS16" s="207">
        <f>[1]!'AI[12].RH.fix'</f>
        <v>0</v>
      </c>
      <c r="AT16" s="208"/>
      <c r="AU16" s="207">
        <f>[1]!'AI[12].L.EN'</f>
        <v>0</v>
      </c>
      <c r="AV16" s="207">
        <f>[1]!'AI[12].L.V'</f>
        <v>0</v>
      </c>
      <c r="AW16" s="207">
        <f>[1]!'AI[12].L.fix'</f>
        <v>0</v>
      </c>
      <c r="AX16" s="208"/>
      <c r="AY16" s="207">
        <f>[1]!'AI[12].H.EN'</f>
        <v>1</v>
      </c>
      <c r="AZ16" s="207">
        <f>[1]!'AI[12].H.V'</f>
        <v>13</v>
      </c>
      <c r="BA16" s="207">
        <f>[1]!'AI[12].H.fix'</f>
        <v>0</v>
      </c>
      <c r="BB16" s="208"/>
      <c r="BC16" s="207">
        <f>[1]!'AI[12].LL.EN'</f>
        <v>0</v>
      </c>
      <c r="BD16" s="207">
        <f>[1]!'AI[12].LL.V'</f>
        <v>0</v>
      </c>
      <c r="BE16" s="207">
        <f>[1]!'AI[12].LL.fix'</f>
        <v>0</v>
      </c>
      <c r="BF16" s="208"/>
      <c r="BG16" s="207">
        <f>[1]!'AI[12].HH.EN'</f>
        <v>1</v>
      </c>
      <c r="BH16" s="207">
        <f>[1]!'AI[12].HH.V'</f>
        <v>14</v>
      </c>
      <c r="BI16" s="207">
        <f>[1]!'AI[12].HH.fix'</f>
        <v>0</v>
      </c>
      <c r="BJ16" s="210"/>
      <c r="BK16" s="207">
        <f>[1]!'AI[12].group'</f>
        <v>1</v>
      </c>
      <c r="BL16" s="207">
        <f>[1]!'AI[12].state'</f>
        <v>4</v>
      </c>
      <c r="BM16" s="207">
        <f>[1]!'AI[12].isInvScale'</f>
        <v>0</v>
      </c>
    </row>
    <row r="17" spans="1:65">
      <c r="A17" s="445"/>
      <c r="B17" s="446"/>
      <c r="C17" s="221">
        <v>13</v>
      </c>
      <c r="D17" s="221">
        <v>13</v>
      </c>
      <c r="E17" s="222" t="s">
        <v>392</v>
      </c>
      <c r="F17" s="222" t="s">
        <v>393</v>
      </c>
      <c r="G17" s="207">
        <f>[1]!'AI[13].ZL'</f>
        <v>0</v>
      </c>
      <c r="H17" s="207">
        <f>[1]!'AI[13].ZH'</f>
        <v>2</v>
      </c>
      <c r="I17" s="221" t="s">
        <v>366</v>
      </c>
      <c r="J17" s="207">
        <f>[1]!'AI[13].RL.V'</f>
        <v>0.95</v>
      </c>
      <c r="K17" s="207">
        <f>[1]!'AI[13].RH.V'</f>
        <v>1.05</v>
      </c>
      <c r="L17" s="207">
        <f>[1]!'AI[13].L.V'</f>
        <v>1</v>
      </c>
      <c r="M17" s="207">
        <f>[1]!'AI[13].H.V'</f>
        <v>0</v>
      </c>
      <c r="N17" s="207">
        <f>[1]!'AI[13].LL.V'</f>
        <v>0</v>
      </c>
      <c r="O17" s="207">
        <f>[1]!'AI[13].HH.V'</f>
        <v>0</v>
      </c>
      <c r="P17" s="223">
        <v>4</v>
      </c>
      <c r="Q17" s="224">
        <v>3</v>
      </c>
      <c r="R17" s="184"/>
      <c r="S17" s="210"/>
      <c r="T17" s="207">
        <f>[1]!'AI[13].group'</f>
        <v>1</v>
      </c>
      <c r="U17" s="210"/>
      <c r="V17" s="209">
        <f t="shared" si="0"/>
        <v>0.02</v>
      </c>
      <c r="X17" s="207">
        <f>[1]!'AI[13].EN'</f>
        <v>1</v>
      </c>
      <c r="Y17" s="207">
        <f>[1]!'AI[13].i'</f>
        <v>3.1404499999999999E-3</v>
      </c>
      <c r="Z17" s="207">
        <f>[1]!'AI[13].isForce'</f>
        <v>0</v>
      </c>
      <c r="AA17" s="207" t="e">
        <f>[1]!'AI[13].vRaw'</f>
        <v>#REF!</v>
      </c>
      <c r="AB17" s="207">
        <f>[1]!'AI[13].isCorrect'</f>
        <v>0</v>
      </c>
      <c r="AC17" s="207" t="e">
        <f>[1]!'AI[13].vCorrect'</f>
        <v>#REF!</v>
      </c>
      <c r="AD17" s="207">
        <f>[1]!'AI[13].v'</f>
        <v>0</v>
      </c>
      <c r="AE17" s="207" t="e">
        <f>[1]!'AI[13].isCut'</f>
        <v>#REF!</v>
      </c>
      <c r="AF17" s="207" t="e">
        <f>[1]!'AI[13].vCut'</f>
        <v>#REF!</v>
      </c>
      <c r="AG17" s="208"/>
      <c r="AH17" s="207">
        <f>[1]!'AI[13].break.sgn'</f>
        <v>1</v>
      </c>
      <c r="AI17" s="208"/>
      <c r="AJ17" s="207">
        <f>[1]!'AI[13].ZL'</f>
        <v>0</v>
      </c>
      <c r="AK17" s="207">
        <f>[1]!'AI[13].ZH'</f>
        <v>2</v>
      </c>
      <c r="AL17" s="208"/>
      <c r="AM17" s="207">
        <f>[1]!'AI[13].RL.EN'</f>
        <v>1</v>
      </c>
      <c r="AN17" s="207">
        <f>[1]!'AI[13].RL.V'</f>
        <v>0.95</v>
      </c>
      <c r="AO17" s="207">
        <f>[1]!'AI[13].RL.fix'</f>
        <v>0</v>
      </c>
      <c r="AP17" s="208"/>
      <c r="AQ17" s="207">
        <f>[1]!'AI[13].RH.EN'</f>
        <v>1</v>
      </c>
      <c r="AR17" s="207">
        <f>[1]!'AI[13].RH.V'</f>
        <v>1.05</v>
      </c>
      <c r="AS17" s="207">
        <f>[1]!'AI[13].RH.fix'</f>
        <v>0</v>
      </c>
      <c r="AT17" s="208"/>
      <c r="AU17" s="207">
        <f>[1]!'AI[13].L.EN'</f>
        <v>0</v>
      </c>
      <c r="AV17" s="207">
        <f>[1]!'AI[13].L.V'</f>
        <v>1</v>
      </c>
      <c r="AW17" s="207">
        <f>[1]!'AI[13].L.fix'</f>
        <v>0</v>
      </c>
      <c r="AX17" s="208"/>
      <c r="AY17" s="207">
        <f>[1]!'AI[13].H.EN'</f>
        <v>0</v>
      </c>
      <c r="AZ17" s="207">
        <f>[1]!'AI[13].H.V'</f>
        <v>0</v>
      </c>
      <c r="BA17" s="207">
        <f>[1]!'AI[13].H.fix'</f>
        <v>0</v>
      </c>
      <c r="BB17" s="208"/>
      <c r="BC17" s="207">
        <f>[1]!'AI[13].LL.EN'</f>
        <v>0</v>
      </c>
      <c r="BD17" s="207">
        <f>[1]!'AI[13].LL.V'</f>
        <v>0</v>
      </c>
      <c r="BE17" s="207">
        <f>[1]!'AI[13].LL.fix'</f>
        <v>0</v>
      </c>
      <c r="BF17" s="208"/>
      <c r="BG17" s="207">
        <f>[1]!'AI[13].HH.EN'</f>
        <v>0</v>
      </c>
      <c r="BH17" s="207">
        <f>[1]!'AI[13].HH.V'</f>
        <v>0</v>
      </c>
      <c r="BI17" s="207">
        <f>[1]!'AI[13].HH.fix'</f>
        <v>0</v>
      </c>
      <c r="BJ17" s="210"/>
      <c r="BK17" s="207">
        <f>[1]!'AI[13].group'</f>
        <v>1</v>
      </c>
      <c r="BL17" s="207">
        <f>[1]!'AI[13].state'</f>
        <v>4</v>
      </c>
      <c r="BM17" s="207">
        <f>[1]!'AI[13].isInvScale'</f>
        <v>0</v>
      </c>
    </row>
    <row r="18" spans="1:65">
      <c r="A18" s="445"/>
      <c r="B18" s="446"/>
      <c r="C18" s="221">
        <v>14</v>
      </c>
      <c r="D18" s="221">
        <v>14</v>
      </c>
      <c r="E18" s="222" t="s">
        <v>394</v>
      </c>
      <c r="F18" s="222" t="s">
        <v>395</v>
      </c>
      <c r="G18" s="207">
        <f>[1]!'AI[14].ZL'</f>
        <v>0</v>
      </c>
      <c r="H18" s="207">
        <f>[1]!'AI[14].ZH'</f>
        <v>0</v>
      </c>
      <c r="I18" s="221" t="s">
        <v>366</v>
      </c>
      <c r="J18" s="207">
        <f>[1]!'AI[14].RL.V'</f>
        <v>0.6</v>
      </c>
      <c r="K18" s="207">
        <f>[1]!'AI[14].RH.V'</f>
        <v>1.2</v>
      </c>
      <c r="L18" s="207">
        <f>[1]!'AI[14].L.V'</f>
        <v>0.5</v>
      </c>
      <c r="M18" s="207">
        <f>[1]!'AI[14].H.V'</f>
        <v>0</v>
      </c>
      <c r="N18" s="207">
        <f>[1]!'AI[14].LL.V'</f>
        <v>0</v>
      </c>
      <c r="O18" s="207">
        <f>[1]!'AI[14].HH.V'</f>
        <v>0</v>
      </c>
      <c r="P18" s="223">
        <v>4</v>
      </c>
      <c r="Q18" s="224">
        <v>3</v>
      </c>
      <c r="R18" s="184"/>
      <c r="S18" s="210"/>
      <c r="T18" s="207">
        <f>[1]!'AI[14].group'</f>
        <v>3</v>
      </c>
      <c r="U18" s="210"/>
      <c r="V18" s="209">
        <f t="shared" si="0"/>
        <v>0</v>
      </c>
      <c r="X18" s="207">
        <f>[1]!'AI[14].EN'</f>
        <v>0</v>
      </c>
      <c r="Y18" s="207">
        <f>[1]!'AI[14].i'</f>
        <v>0</v>
      </c>
      <c r="Z18" s="207">
        <f>[1]!'AI[14].isForce'</f>
        <v>0</v>
      </c>
      <c r="AA18" s="207" t="e">
        <f>[1]!'AI[14].vRaw'</f>
        <v>#REF!</v>
      </c>
      <c r="AB18" s="207">
        <f>[1]!'AI[14].isCorrect'</f>
        <v>0</v>
      </c>
      <c r="AC18" s="207" t="e">
        <f>[1]!'AI[14].vCorrect'</f>
        <v>#REF!</v>
      </c>
      <c r="AD18" s="207">
        <f>[1]!'AI[14].v'</f>
        <v>0</v>
      </c>
      <c r="AE18" s="207" t="e">
        <f>[1]!'AI[14].isCut'</f>
        <v>#REF!</v>
      </c>
      <c r="AF18" s="207" t="e">
        <f>[1]!'AI[14].vCut'</f>
        <v>#REF!</v>
      </c>
      <c r="AG18" s="208"/>
      <c r="AH18" s="207">
        <f>[1]!'AI[14].break.sgn'</f>
        <v>0</v>
      </c>
      <c r="AI18" s="208"/>
      <c r="AJ18" s="207">
        <f>[1]!'AI[14].ZL'</f>
        <v>0</v>
      </c>
      <c r="AK18" s="207">
        <f>[1]!'AI[14].ZH'</f>
        <v>0</v>
      </c>
      <c r="AL18" s="208"/>
      <c r="AM18" s="207">
        <f>[1]!'AI[14].RL.EN'</f>
        <v>0</v>
      </c>
      <c r="AN18" s="207">
        <f>[1]!'AI[14].RL.V'</f>
        <v>0.6</v>
      </c>
      <c r="AO18" s="207">
        <f>[1]!'AI[14].RL.fix'</f>
        <v>1</v>
      </c>
      <c r="AP18" s="208"/>
      <c r="AQ18" s="207">
        <f>[1]!'AI[14].RH.EN'</f>
        <v>0</v>
      </c>
      <c r="AR18" s="207">
        <f>[1]!'AI[14].RH.V'</f>
        <v>1.2</v>
      </c>
      <c r="AS18" s="207">
        <f>[1]!'AI[14].RH.fix'</f>
        <v>0</v>
      </c>
      <c r="AT18" s="208"/>
      <c r="AU18" s="207">
        <f>[1]!'AI[14].L.EN'</f>
        <v>0</v>
      </c>
      <c r="AV18" s="207">
        <f>[1]!'AI[14].L.V'</f>
        <v>0.5</v>
      </c>
      <c r="AW18" s="207">
        <f>[1]!'AI[14].L.fix'</f>
        <v>0</v>
      </c>
      <c r="AX18" s="208"/>
      <c r="AY18" s="207">
        <f>[1]!'AI[14].H.EN'</f>
        <v>0</v>
      </c>
      <c r="AZ18" s="207">
        <f>[1]!'AI[14].H.V'</f>
        <v>0</v>
      </c>
      <c r="BA18" s="207">
        <f>[1]!'AI[14].H.fix'</f>
        <v>0</v>
      </c>
      <c r="BB18" s="208"/>
      <c r="BC18" s="207">
        <f>[1]!'AI[14].LL.EN'</f>
        <v>0</v>
      </c>
      <c r="BD18" s="207">
        <f>[1]!'AI[14].LL.V'</f>
        <v>0</v>
      </c>
      <c r="BE18" s="207">
        <f>[1]!'AI[14].LL.fix'</f>
        <v>0</v>
      </c>
      <c r="BF18" s="208"/>
      <c r="BG18" s="207">
        <f>[1]!'AI[14].HH.EN'</f>
        <v>0</v>
      </c>
      <c r="BH18" s="207">
        <f>[1]!'AI[14].HH.V'</f>
        <v>0</v>
      </c>
      <c r="BI18" s="207">
        <f>[1]!'AI[14].HH.fix'</f>
        <v>0</v>
      </c>
      <c r="BJ18" s="210"/>
      <c r="BK18" s="207">
        <f>[1]!'AI[14].group'</f>
        <v>3</v>
      </c>
      <c r="BL18" s="207">
        <f>[1]!'AI[14].state'</f>
        <v>4</v>
      </c>
      <c r="BM18" s="207">
        <f>[1]!'AI[14].isInvScale'</f>
        <v>0</v>
      </c>
    </row>
    <row r="19" spans="1:65" ht="15.75" thickBot="1">
      <c r="A19" s="445"/>
      <c r="B19" s="446"/>
      <c r="C19" s="225">
        <v>15</v>
      </c>
      <c r="D19" s="225">
        <v>15</v>
      </c>
      <c r="E19" s="226" t="s">
        <v>396</v>
      </c>
      <c r="F19" s="226" t="s">
        <v>397</v>
      </c>
      <c r="G19" s="207">
        <f>[1]!'AI[15].ZL'</f>
        <v>0</v>
      </c>
      <c r="H19" s="207">
        <f>[1]!'AI[15].ZH'</f>
        <v>0</v>
      </c>
      <c r="I19" s="225" t="s">
        <v>366</v>
      </c>
      <c r="J19" s="207">
        <f>[1]!'AI[15].RL.V'</f>
        <v>0.6</v>
      </c>
      <c r="K19" s="207">
        <f>[1]!'AI[15].RH.V'</f>
        <v>1.2</v>
      </c>
      <c r="L19" s="207">
        <f>[1]!'AI[15].L.V'</f>
        <v>0.5</v>
      </c>
      <c r="M19" s="207">
        <f>[1]!'AI[15].H.V'</f>
        <v>0</v>
      </c>
      <c r="N19" s="207">
        <f>[1]!'AI[15].LL.V'</f>
        <v>0</v>
      </c>
      <c r="O19" s="207">
        <f>[1]!'AI[15].HH.V'</f>
        <v>0</v>
      </c>
      <c r="P19" s="227">
        <v>4</v>
      </c>
      <c r="Q19" s="228">
        <v>3</v>
      </c>
      <c r="R19" s="190"/>
      <c r="S19" s="210"/>
      <c r="T19" s="207">
        <f>[1]!'AI[15].group'</f>
        <v>3</v>
      </c>
      <c r="U19" s="210"/>
      <c r="V19" s="209">
        <f t="shared" si="0"/>
        <v>0</v>
      </c>
      <c r="X19" s="207">
        <f>[1]!'AI[15].EN'</f>
        <v>0</v>
      </c>
      <c r="Y19" s="207">
        <f>[1]!'AI[15].i'</f>
        <v>0</v>
      </c>
      <c r="Z19" s="207">
        <f>[1]!'AI[15].isForce'</f>
        <v>0</v>
      </c>
      <c r="AA19" s="207" t="e">
        <f>[1]!'AI[15].vRaw'</f>
        <v>#REF!</v>
      </c>
      <c r="AB19" s="207">
        <f>[1]!'AI[15].isCorrect'</f>
        <v>0</v>
      </c>
      <c r="AC19" s="207" t="e">
        <f>[1]!'AI[15].vCorrect'</f>
        <v>#REF!</v>
      </c>
      <c r="AD19" s="207">
        <f>[1]!'AI[15].v'</f>
        <v>0</v>
      </c>
      <c r="AE19" s="207" t="e">
        <f>[1]!'AI[15].isCut'</f>
        <v>#REF!</v>
      </c>
      <c r="AF19" s="207" t="e">
        <f>[1]!'AI[15].vCut'</f>
        <v>#REF!</v>
      </c>
      <c r="AG19" s="208"/>
      <c r="AH19" s="207">
        <f>[1]!'AI[15].break.sgn'</f>
        <v>0</v>
      </c>
      <c r="AI19" s="208"/>
      <c r="AJ19" s="207">
        <f>[1]!'AI[15].ZL'</f>
        <v>0</v>
      </c>
      <c r="AK19" s="207">
        <f>[1]!'AI[15].ZH'</f>
        <v>0</v>
      </c>
      <c r="AL19" s="208"/>
      <c r="AM19" s="207">
        <f>[1]!'AI[15].RL.EN'</f>
        <v>0</v>
      </c>
      <c r="AN19" s="207">
        <f>[1]!'AI[15].RL.V'</f>
        <v>0.6</v>
      </c>
      <c r="AO19" s="207">
        <f>[1]!'AI[15].RL.fix'</f>
        <v>1</v>
      </c>
      <c r="AP19" s="208"/>
      <c r="AQ19" s="207">
        <f>[1]!'AI[15].RH.EN'</f>
        <v>0</v>
      </c>
      <c r="AR19" s="207">
        <f>[1]!'AI[15].RH.V'</f>
        <v>1.2</v>
      </c>
      <c r="AS19" s="207">
        <f>[1]!'AI[15].RH.fix'</f>
        <v>0</v>
      </c>
      <c r="AT19" s="208"/>
      <c r="AU19" s="207">
        <f>[1]!'AI[15].L.EN'</f>
        <v>0</v>
      </c>
      <c r="AV19" s="207">
        <f>[1]!'AI[15].L.V'</f>
        <v>0.5</v>
      </c>
      <c r="AW19" s="207">
        <f>[1]!'AI[15].L.fix'</f>
        <v>0</v>
      </c>
      <c r="AX19" s="208"/>
      <c r="AY19" s="207">
        <f>[1]!'AI[15].H.EN'</f>
        <v>0</v>
      </c>
      <c r="AZ19" s="207">
        <f>[1]!'AI[15].H.V'</f>
        <v>0</v>
      </c>
      <c r="BA19" s="207">
        <f>[1]!'AI[15].H.fix'</f>
        <v>0</v>
      </c>
      <c r="BB19" s="208"/>
      <c r="BC19" s="207">
        <f>[1]!'AI[15].LL.EN'</f>
        <v>0</v>
      </c>
      <c r="BD19" s="207">
        <f>[1]!'AI[15].LL.V'</f>
        <v>0</v>
      </c>
      <c r="BE19" s="207">
        <f>[1]!'AI[15].LL.fix'</f>
        <v>0</v>
      </c>
      <c r="BF19" s="208"/>
      <c r="BG19" s="207">
        <f>[1]!'AI[15].HH.EN'</f>
        <v>0</v>
      </c>
      <c r="BH19" s="207">
        <f>[1]!'AI[15].HH.V'</f>
        <v>0</v>
      </c>
      <c r="BI19" s="207">
        <f>[1]!'AI[15].HH.fix'</f>
        <v>0</v>
      </c>
      <c r="BJ19" s="210"/>
      <c r="BK19" s="207">
        <f>[1]!'AI[15].group'</f>
        <v>3</v>
      </c>
      <c r="BL19" s="207">
        <f>[1]!'AI[15].state'</f>
        <v>4</v>
      </c>
      <c r="BM19" s="207">
        <f>[1]!'AI[15].isInvScale'</f>
        <v>0</v>
      </c>
    </row>
    <row r="20" spans="1:65" ht="15" customHeight="1">
      <c r="A20" s="445" t="s">
        <v>36</v>
      </c>
      <c r="B20" s="446">
        <v>3</v>
      </c>
      <c r="C20" s="216">
        <v>0</v>
      </c>
      <c r="D20" s="216">
        <v>0</v>
      </c>
      <c r="E20" s="217" t="s">
        <v>364</v>
      </c>
      <c r="F20" s="217" t="s">
        <v>365</v>
      </c>
      <c r="G20" s="207">
        <f>[1]!'AI[16].ZL'</f>
        <v>-50</v>
      </c>
      <c r="H20" s="207">
        <f>[1]!'AI[16].ZH'</f>
        <v>50</v>
      </c>
      <c r="I20" s="216" t="s">
        <v>366</v>
      </c>
      <c r="J20" s="207">
        <f>[1]!'AI[16].RL.V'</f>
        <v>5</v>
      </c>
      <c r="K20" s="207">
        <f>[1]!'AI[16].RH.V'</f>
        <v>40</v>
      </c>
      <c r="L20" s="207">
        <f>[1]!'AI[16].L.V'</f>
        <v>0</v>
      </c>
      <c r="M20" s="207">
        <f>[1]!'AI[16].H.V'</f>
        <v>0</v>
      </c>
      <c r="N20" s="207">
        <f>[1]!'AI[16].LL.V'</f>
        <v>0</v>
      </c>
      <c r="O20" s="207">
        <f>[1]!'AI[16].HH.V'</f>
        <v>0</v>
      </c>
      <c r="P20" s="218">
        <v>1</v>
      </c>
      <c r="Q20" s="219">
        <v>0</v>
      </c>
      <c r="R20" s="220"/>
      <c r="S20" s="229"/>
      <c r="T20" s="207">
        <f>[1]!'AI[16].group'</f>
        <v>1</v>
      </c>
      <c r="U20" s="229"/>
      <c r="V20" s="209">
        <f t="shared" si="0"/>
        <v>1</v>
      </c>
      <c r="X20" s="207">
        <f>[1]!'AI[16].EN'</f>
        <v>1</v>
      </c>
      <c r="Y20" s="207">
        <f>[1]!'AI[16].i'</f>
        <v>4.7111510000000002E-3</v>
      </c>
      <c r="Z20" s="207">
        <f>[1]!'AI[16].isForce'</f>
        <v>0</v>
      </c>
      <c r="AA20" s="207" t="e">
        <f>[1]!'AI[16].vRaw'</f>
        <v>#REF!</v>
      </c>
      <c r="AB20" s="207">
        <f>[1]!'AI[16].isCorrect'</f>
        <v>0</v>
      </c>
      <c r="AC20" s="207" t="e">
        <f>[1]!'AI[16].vCorrect'</f>
        <v>#REF!</v>
      </c>
      <c r="AD20" s="207">
        <f>[1]!'AI[16].v'</f>
        <v>0</v>
      </c>
      <c r="AE20" s="207" t="e">
        <f>[1]!'AI[16].isCut'</f>
        <v>#REF!</v>
      </c>
      <c r="AF20" s="207" t="e">
        <f>[1]!'AI[16].vCut'</f>
        <v>#REF!</v>
      </c>
      <c r="AG20" s="208"/>
      <c r="AH20" s="207">
        <f>[1]!'AI[16].break.sgn'</f>
        <v>1</v>
      </c>
      <c r="AI20" s="208"/>
      <c r="AJ20" s="207">
        <f>[1]!'AI[16].ZL'</f>
        <v>-50</v>
      </c>
      <c r="AK20" s="207">
        <f>[1]!'AI[16].ZH'</f>
        <v>50</v>
      </c>
      <c r="AL20" s="208"/>
      <c r="AM20" s="207">
        <f>[1]!'AI[16].RL.EN'</f>
        <v>1</v>
      </c>
      <c r="AN20" s="207">
        <f>[1]!'AI[16].RL.V'</f>
        <v>5</v>
      </c>
      <c r="AO20" s="207">
        <f>[1]!'AI[16].RL.fix'</f>
        <v>0</v>
      </c>
      <c r="AP20" s="208"/>
      <c r="AQ20" s="207">
        <f>[1]!'AI[16].RH.EN'</f>
        <v>1</v>
      </c>
      <c r="AR20" s="207">
        <f>[1]!'AI[16].RH.V'</f>
        <v>40</v>
      </c>
      <c r="AS20" s="207">
        <f>[1]!'AI[16].RH.fix'</f>
        <v>0</v>
      </c>
      <c r="AT20" s="208"/>
      <c r="AU20" s="207">
        <f>[1]!'AI[16].L.EN'</f>
        <v>0</v>
      </c>
      <c r="AV20" s="207">
        <f>[1]!'AI[16].L.V'</f>
        <v>0</v>
      </c>
      <c r="AW20" s="207">
        <f>[1]!'AI[16].L.fix'</f>
        <v>0</v>
      </c>
      <c r="AX20" s="208"/>
      <c r="AY20" s="207">
        <f>[1]!'AI[16].H.EN'</f>
        <v>0</v>
      </c>
      <c r="AZ20" s="207">
        <f>[1]!'AI[16].H.V'</f>
        <v>0</v>
      </c>
      <c r="BA20" s="207">
        <f>[1]!'AI[16].H.fix'</f>
        <v>0</v>
      </c>
      <c r="BB20" s="208"/>
      <c r="BC20" s="207">
        <f>[1]!'AI[16].LL.EN'</f>
        <v>0</v>
      </c>
      <c r="BD20" s="207">
        <f>[1]!'AI[16].LL.V'</f>
        <v>0</v>
      </c>
      <c r="BE20" s="207">
        <f>[1]!'AI[16].LL.fix'</f>
        <v>0</v>
      </c>
      <c r="BF20" s="208"/>
      <c r="BG20" s="207">
        <f>[1]!'AI[16].HH.EN'</f>
        <v>0</v>
      </c>
      <c r="BH20" s="207">
        <f>[1]!'AI[16].HH.V'</f>
        <v>0</v>
      </c>
      <c r="BI20" s="207">
        <f>[1]!'AI[16].HH.fix'</f>
        <v>0</v>
      </c>
      <c r="BJ20" s="209"/>
      <c r="BK20" s="207">
        <f>[1]!'AI[16].group'</f>
        <v>1</v>
      </c>
      <c r="BL20" s="207">
        <f>[1]!'AI[16].state'</f>
        <v>4</v>
      </c>
      <c r="BM20" s="207">
        <f>[1]!'AI[16].isInvScale'</f>
        <v>0</v>
      </c>
    </row>
    <row r="21" spans="1:65">
      <c r="A21" s="445"/>
      <c r="B21" s="446"/>
      <c r="C21" s="221">
        <v>1</v>
      </c>
      <c r="D21" s="221">
        <v>1</v>
      </c>
      <c r="E21" s="222" t="s">
        <v>367</v>
      </c>
      <c r="F21" s="222" t="s">
        <v>368</v>
      </c>
      <c r="G21" s="207">
        <f>[1]!'AI[17].ZL'</f>
        <v>0</v>
      </c>
      <c r="H21" s="207">
        <f>[1]!'AI[17].ZH'</f>
        <v>100</v>
      </c>
      <c r="I21" s="221" t="s">
        <v>366</v>
      </c>
      <c r="J21" s="207">
        <f>[1]!'AI[17].RL.V'</f>
        <v>30</v>
      </c>
      <c r="K21" s="207">
        <f>[1]!'AI[17].RH.V'</f>
        <v>60</v>
      </c>
      <c r="L21" s="207">
        <f>[1]!'AI[17].L.V'</f>
        <v>0</v>
      </c>
      <c r="M21" s="207">
        <f>[1]!'AI[17].H.V'</f>
        <v>0</v>
      </c>
      <c r="N21" s="207">
        <f>[1]!'AI[17].LL.V'</f>
        <v>0</v>
      </c>
      <c r="O21" s="207">
        <f>[1]!'AI[17].HH.V'</f>
        <v>0</v>
      </c>
      <c r="P21" s="223">
        <v>1</v>
      </c>
      <c r="Q21" s="224">
        <v>0</v>
      </c>
      <c r="R21" s="184"/>
      <c r="S21" s="229"/>
      <c r="T21" s="207">
        <f>[1]!'AI[17].group'</f>
        <v>1</v>
      </c>
      <c r="U21" s="229"/>
      <c r="V21" s="209">
        <f t="shared" si="0"/>
        <v>1</v>
      </c>
      <c r="X21" s="207">
        <f>[1]!'AI[17].EN'</f>
        <v>1</v>
      </c>
      <c r="Y21" s="207">
        <f>[1]!'AI[17].i'</f>
        <v>4.7111510000000002E-3</v>
      </c>
      <c r="Z21" s="207">
        <f>[1]!'AI[17].isForce'</f>
        <v>0</v>
      </c>
      <c r="AA21" s="207" t="e">
        <f>[1]!'AI[17].vRaw'</f>
        <v>#REF!</v>
      </c>
      <c r="AB21" s="207">
        <f>[1]!'AI[17].isCorrect'</f>
        <v>0</v>
      </c>
      <c r="AC21" s="207" t="e">
        <f>[1]!'AI[17].vCorrect'</f>
        <v>#REF!</v>
      </c>
      <c r="AD21" s="207">
        <f>[1]!'AI[17].v'</f>
        <v>0</v>
      </c>
      <c r="AE21" s="207" t="e">
        <f>[1]!'AI[17].isCut'</f>
        <v>#REF!</v>
      </c>
      <c r="AF21" s="207" t="e">
        <f>[1]!'AI[17].vCut'</f>
        <v>#REF!</v>
      </c>
      <c r="AG21" s="208"/>
      <c r="AH21" s="207">
        <f>[1]!'AI[17].break.sgn'</f>
        <v>1</v>
      </c>
      <c r="AI21" s="208"/>
      <c r="AJ21" s="207">
        <f>[1]!'AI[17].ZL'</f>
        <v>0</v>
      </c>
      <c r="AK21" s="207">
        <f>[1]!'AI[17].ZH'</f>
        <v>100</v>
      </c>
      <c r="AL21" s="208"/>
      <c r="AM21" s="207">
        <f>[1]!'AI[17].RL.EN'</f>
        <v>1</v>
      </c>
      <c r="AN21" s="207">
        <f>[1]!'AI[17].RL.V'</f>
        <v>30</v>
      </c>
      <c r="AO21" s="207">
        <f>[1]!'AI[17].RL.fix'</f>
        <v>0</v>
      </c>
      <c r="AP21" s="208"/>
      <c r="AQ21" s="207">
        <f>[1]!'AI[17].RH.EN'</f>
        <v>1</v>
      </c>
      <c r="AR21" s="207">
        <f>[1]!'AI[17].RH.V'</f>
        <v>60</v>
      </c>
      <c r="AS21" s="207">
        <f>[1]!'AI[17].RH.fix'</f>
        <v>0</v>
      </c>
      <c r="AT21" s="208"/>
      <c r="AU21" s="207">
        <f>[1]!'AI[17].L.EN'</f>
        <v>0</v>
      </c>
      <c r="AV21" s="207">
        <f>[1]!'AI[17].L.V'</f>
        <v>0</v>
      </c>
      <c r="AW21" s="207">
        <f>[1]!'AI[17].L.fix'</f>
        <v>0</v>
      </c>
      <c r="AX21" s="208"/>
      <c r="AY21" s="207">
        <f>[1]!'AI[17].H.EN'</f>
        <v>0</v>
      </c>
      <c r="AZ21" s="207">
        <f>[1]!'AI[17].H.V'</f>
        <v>0</v>
      </c>
      <c r="BA21" s="207">
        <f>[1]!'AI[17].H.fix'</f>
        <v>0</v>
      </c>
      <c r="BB21" s="208"/>
      <c r="BC21" s="207">
        <f>[1]!'AI[17].LL.EN'</f>
        <v>0</v>
      </c>
      <c r="BD21" s="207">
        <f>[1]!'AI[17].LL.V'</f>
        <v>0</v>
      </c>
      <c r="BE21" s="207">
        <f>[1]!'AI[17].LL.fix'</f>
        <v>0</v>
      </c>
      <c r="BF21" s="208"/>
      <c r="BG21" s="207">
        <f>[1]!'AI[17].HH.EN'</f>
        <v>0</v>
      </c>
      <c r="BH21" s="207">
        <f>[1]!'AI[17].HH.V'</f>
        <v>0</v>
      </c>
      <c r="BI21" s="207">
        <f>[1]!'AI[17].HH.fix'</f>
        <v>0</v>
      </c>
      <c r="BJ21" s="209"/>
      <c r="BK21" s="207">
        <f>[1]!'AI[17].group'</f>
        <v>1</v>
      </c>
      <c r="BL21" s="207">
        <f>[1]!'AI[17].state'</f>
        <v>4</v>
      </c>
      <c r="BM21" s="207">
        <f>[1]!'AI[17].isInvScale'</f>
        <v>0</v>
      </c>
    </row>
    <row r="22" spans="1:65">
      <c r="A22" s="445"/>
      <c r="B22" s="446"/>
      <c r="C22" s="221">
        <v>2</v>
      </c>
      <c r="D22" s="221">
        <v>2</v>
      </c>
      <c r="E22" s="222" t="s">
        <v>369</v>
      </c>
      <c r="F22" s="222" t="s">
        <v>370</v>
      </c>
      <c r="G22" s="207">
        <f>[1]!'AI[18].ZL'</f>
        <v>0</v>
      </c>
      <c r="H22" s="207">
        <f>[1]!'AI[18].ZH'</f>
        <v>100</v>
      </c>
      <c r="I22" s="221" t="s">
        <v>366</v>
      </c>
      <c r="J22" s="207">
        <f>[1]!'AI[18].RL.V'</f>
        <v>30</v>
      </c>
      <c r="K22" s="207">
        <f>[1]!'AI[18].RH.V'</f>
        <v>50</v>
      </c>
      <c r="L22" s="207">
        <f>[1]!'AI[18].L.V'</f>
        <v>0</v>
      </c>
      <c r="M22" s="207">
        <f>[1]!'AI[18].H.V'</f>
        <v>0</v>
      </c>
      <c r="N22" s="207">
        <f>[1]!'AI[18].LL.V'</f>
        <v>0</v>
      </c>
      <c r="O22" s="207">
        <f>[1]!'AI[18].HH.V'</f>
        <v>0</v>
      </c>
      <c r="P22" s="223">
        <v>1</v>
      </c>
      <c r="Q22" s="224">
        <v>0</v>
      </c>
      <c r="R22" s="184"/>
      <c r="S22" s="229"/>
      <c r="T22" s="207">
        <f>[1]!'AI[18].group'</f>
        <v>1</v>
      </c>
      <c r="U22" s="229"/>
      <c r="V22" s="209">
        <f t="shared" si="0"/>
        <v>1</v>
      </c>
      <c r="X22" s="207">
        <f>[1]!'AI[18].EN'</f>
        <v>1</v>
      </c>
      <c r="Y22" s="207">
        <f>[1]!'AI[18].i'</f>
        <v>5.0249099999999996E-3</v>
      </c>
      <c r="Z22" s="207">
        <f>[1]!'AI[18].isForce'</f>
        <v>0</v>
      </c>
      <c r="AA22" s="207" t="e">
        <f>[1]!'AI[18].vRaw'</f>
        <v>#REF!</v>
      </c>
      <c r="AB22" s="207">
        <f>[1]!'AI[18].isCorrect'</f>
        <v>0</v>
      </c>
      <c r="AC22" s="207" t="e">
        <f>[1]!'AI[18].vCorrect'</f>
        <v>#REF!</v>
      </c>
      <c r="AD22" s="207">
        <f>[1]!'AI[18].v'</f>
        <v>0</v>
      </c>
      <c r="AE22" s="207" t="e">
        <f>[1]!'AI[18].isCut'</f>
        <v>#REF!</v>
      </c>
      <c r="AF22" s="207" t="e">
        <f>[1]!'AI[18].vCut'</f>
        <v>#REF!</v>
      </c>
      <c r="AG22" s="208"/>
      <c r="AH22" s="207">
        <f>[1]!'AI[18].break.sgn'</f>
        <v>1</v>
      </c>
      <c r="AI22" s="208"/>
      <c r="AJ22" s="207">
        <f>[1]!'AI[18].ZL'</f>
        <v>0</v>
      </c>
      <c r="AK22" s="207">
        <f>[1]!'AI[18].ZH'</f>
        <v>100</v>
      </c>
      <c r="AL22" s="208"/>
      <c r="AM22" s="207">
        <f>[1]!'AI[18].RL.EN'</f>
        <v>1</v>
      </c>
      <c r="AN22" s="207">
        <f>[1]!'AI[18].RL.V'</f>
        <v>30</v>
      </c>
      <c r="AO22" s="207">
        <f>[1]!'AI[18].RL.fix'</f>
        <v>0</v>
      </c>
      <c r="AP22" s="208"/>
      <c r="AQ22" s="207">
        <f>[1]!'AI[18].RH.EN'</f>
        <v>1</v>
      </c>
      <c r="AR22" s="207">
        <f>[1]!'AI[18].RH.V'</f>
        <v>50</v>
      </c>
      <c r="AS22" s="207">
        <f>[1]!'AI[18].RH.fix'</f>
        <v>0</v>
      </c>
      <c r="AT22" s="208"/>
      <c r="AU22" s="207">
        <f>[1]!'AI[18].L.EN'</f>
        <v>0</v>
      </c>
      <c r="AV22" s="207">
        <f>[1]!'AI[18].L.V'</f>
        <v>0</v>
      </c>
      <c r="AW22" s="207">
        <f>[1]!'AI[18].L.fix'</f>
        <v>0</v>
      </c>
      <c r="AX22" s="208"/>
      <c r="AY22" s="207">
        <f>[1]!'AI[18].H.EN'</f>
        <v>0</v>
      </c>
      <c r="AZ22" s="207">
        <f>[1]!'AI[18].H.V'</f>
        <v>0</v>
      </c>
      <c r="BA22" s="207">
        <f>[1]!'AI[18].H.fix'</f>
        <v>0</v>
      </c>
      <c r="BB22" s="208"/>
      <c r="BC22" s="207">
        <f>[1]!'AI[18].LL.EN'</f>
        <v>0</v>
      </c>
      <c r="BD22" s="207">
        <f>[1]!'AI[18].LL.V'</f>
        <v>0</v>
      </c>
      <c r="BE22" s="207">
        <f>[1]!'AI[18].LL.fix'</f>
        <v>0</v>
      </c>
      <c r="BF22" s="208"/>
      <c r="BG22" s="207">
        <f>[1]!'AI[18].HH.EN'</f>
        <v>0</v>
      </c>
      <c r="BH22" s="207">
        <f>[1]!'AI[18].HH.V'</f>
        <v>0</v>
      </c>
      <c r="BI22" s="207">
        <f>[1]!'AI[18].HH.fix'</f>
        <v>0</v>
      </c>
      <c r="BJ22" s="209"/>
      <c r="BK22" s="207">
        <f>[1]!'AI[18].group'</f>
        <v>1</v>
      </c>
      <c r="BL22" s="207">
        <f>[1]!'AI[18].state'</f>
        <v>4</v>
      </c>
      <c r="BM22" s="207">
        <f>[1]!'AI[18].isInvScale'</f>
        <v>0</v>
      </c>
    </row>
    <row r="23" spans="1:65">
      <c r="A23" s="445"/>
      <c r="B23" s="446"/>
      <c r="C23" s="221">
        <v>3</v>
      </c>
      <c r="D23" s="221">
        <v>3</v>
      </c>
      <c r="E23" s="222" t="s">
        <v>371</v>
      </c>
      <c r="F23" s="222" t="s">
        <v>372</v>
      </c>
      <c r="G23" s="207">
        <f>[1]!'AI[19].ZL'</f>
        <v>0</v>
      </c>
      <c r="H23" s="207">
        <f>[1]!'AI[19].ZH'</f>
        <v>100</v>
      </c>
      <c r="I23" s="221" t="s">
        <v>366</v>
      </c>
      <c r="J23" s="207">
        <f>[1]!'AI[19].RL.V'</f>
        <v>20</v>
      </c>
      <c r="K23" s="207">
        <f>[1]!'AI[19].RH.V'</f>
        <v>80</v>
      </c>
      <c r="L23" s="207">
        <f>[1]!'AI[19].L.V'</f>
        <v>0</v>
      </c>
      <c r="M23" s="207">
        <f>[1]!'AI[19].H.V'</f>
        <v>0</v>
      </c>
      <c r="N23" s="207">
        <f>[1]!'AI[19].LL.V'</f>
        <v>0</v>
      </c>
      <c r="O23" s="207">
        <f>[1]!'AI[19].HH.V'</f>
        <v>0</v>
      </c>
      <c r="P23" s="223">
        <v>1</v>
      </c>
      <c r="Q23" s="224">
        <v>0</v>
      </c>
      <c r="R23" s="184"/>
      <c r="S23" s="229"/>
      <c r="T23" s="207">
        <f>[1]!'AI[19].group'</f>
        <v>1</v>
      </c>
      <c r="U23" s="229"/>
      <c r="V23" s="209">
        <f t="shared" si="0"/>
        <v>1</v>
      </c>
      <c r="X23" s="207">
        <f>[1]!'AI[19].EN'</f>
        <v>1</v>
      </c>
      <c r="Y23" s="207">
        <f>[1]!'AI[19].i'</f>
        <v>4.7111510000000002E-3</v>
      </c>
      <c r="Z23" s="207">
        <f>[1]!'AI[19].isForce'</f>
        <v>0</v>
      </c>
      <c r="AA23" s="207" t="e">
        <f>[1]!'AI[19].vRaw'</f>
        <v>#REF!</v>
      </c>
      <c r="AB23" s="207">
        <f>[1]!'AI[19].isCorrect'</f>
        <v>0</v>
      </c>
      <c r="AC23" s="207" t="e">
        <f>[1]!'AI[19].vCorrect'</f>
        <v>#REF!</v>
      </c>
      <c r="AD23" s="207">
        <f>[1]!'AI[19].v'</f>
        <v>0</v>
      </c>
      <c r="AE23" s="207" t="e">
        <f>[1]!'AI[19].isCut'</f>
        <v>#REF!</v>
      </c>
      <c r="AF23" s="207" t="e">
        <f>[1]!'AI[19].vCut'</f>
        <v>#REF!</v>
      </c>
      <c r="AG23" s="208"/>
      <c r="AH23" s="207">
        <f>[1]!'AI[19].break.sgn'</f>
        <v>1</v>
      </c>
      <c r="AI23" s="208"/>
      <c r="AJ23" s="207">
        <f>[1]!'AI[19].ZL'</f>
        <v>0</v>
      </c>
      <c r="AK23" s="207">
        <f>[1]!'AI[19].ZH'</f>
        <v>100</v>
      </c>
      <c r="AL23" s="208"/>
      <c r="AM23" s="207">
        <f>[1]!'AI[19].RL.EN'</f>
        <v>1</v>
      </c>
      <c r="AN23" s="207">
        <f>[1]!'AI[19].RL.V'</f>
        <v>20</v>
      </c>
      <c r="AO23" s="207">
        <f>[1]!'AI[19].RL.fix'</f>
        <v>0</v>
      </c>
      <c r="AP23" s="208"/>
      <c r="AQ23" s="207">
        <f>[1]!'AI[19].RH.EN'</f>
        <v>1</v>
      </c>
      <c r="AR23" s="207">
        <f>[1]!'AI[19].RH.V'</f>
        <v>80</v>
      </c>
      <c r="AS23" s="207">
        <f>[1]!'AI[19].RH.fix'</f>
        <v>0</v>
      </c>
      <c r="AT23" s="208"/>
      <c r="AU23" s="207">
        <f>[1]!'AI[19].L.EN'</f>
        <v>0</v>
      </c>
      <c r="AV23" s="207">
        <f>[1]!'AI[19].L.V'</f>
        <v>0</v>
      </c>
      <c r="AW23" s="207">
        <f>[1]!'AI[19].L.fix'</f>
        <v>0</v>
      </c>
      <c r="AX23" s="208"/>
      <c r="AY23" s="207">
        <f>[1]!'AI[19].H.EN'</f>
        <v>0</v>
      </c>
      <c r="AZ23" s="207">
        <f>[1]!'AI[19].H.V'</f>
        <v>0</v>
      </c>
      <c r="BA23" s="207">
        <f>[1]!'AI[19].H.fix'</f>
        <v>0</v>
      </c>
      <c r="BB23" s="208"/>
      <c r="BC23" s="207">
        <f>[1]!'AI[19].LL.EN'</f>
        <v>0</v>
      </c>
      <c r="BD23" s="207">
        <f>[1]!'AI[19].LL.V'</f>
        <v>0</v>
      </c>
      <c r="BE23" s="207">
        <f>[1]!'AI[19].LL.fix'</f>
        <v>0</v>
      </c>
      <c r="BF23" s="208"/>
      <c r="BG23" s="207">
        <f>[1]!'AI[19].HH.EN'</f>
        <v>0</v>
      </c>
      <c r="BH23" s="207">
        <f>[1]!'AI[19].HH.V'</f>
        <v>0</v>
      </c>
      <c r="BI23" s="207">
        <f>[1]!'AI[19].HH.fix'</f>
        <v>0</v>
      </c>
      <c r="BJ23" s="209"/>
      <c r="BK23" s="207">
        <f>[1]!'AI[19].group'</f>
        <v>1</v>
      </c>
      <c r="BL23" s="207">
        <f>[1]!'AI[19].state'</f>
        <v>4</v>
      </c>
      <c r="BM23" s="207">
        <f>[1]!'AI[19].isInvScale'</f>
        <v>0</v>
      </c>
    </row>
    <row r="24" spans="1:65">
      <c r="A24" s="445"/>
      <c r="B24" s="446"/>
      <c r="C24" s="221">
        <v>4</v>
      </c>
      <c r="D24" s="221">
        <v>4</v>
      </c>
      <c r="E24" s="222" t="s">
        <v>373</v>
      </c>
      <c r="F24" s="222" t="s">
        <v>374</v>
      </c>
      <c r="G24" s="207">
        <f>[1]!'AI[20].ZL'</f>
        <v>0</v>
      </c>
      <c r="H24" s="207">
        <f>[1]!'AI[20].ZH'</f>
        <v>100</v>
      </c>
      <c r="I24" s="221" t="s">
        <v>366</v>
      </c>
      <c r="J24" s="207">
        <f>[1]!'AI[20].RL.V'</f>
        <v>20</v>
      </c>
      <c r="K24" s="207">
        <f>[1]!'AI[20].RH.V'</f>
        <v>80</v>
      </c>
      <c r="L24" s="207">
        <f>[1]!'AI[20].L.V'</f>
        <v>0</v>
      </c>
      <c r="M24" s="207">
        <f>[1]!'AI[20].H.V'</f>
        <v>0</v>
      </c>
      <c r="N24" s="207">
        <f>[1]!'AI[20].LL.V'</f>
        <v>0</v>
      </c>
      <c r="O24" s="207">
        <f>[1]!'AI[20].HH.V'</f>
        <v>0</v>
      </c>
      <c r="P24" s="223">
        <v>1</v>
      </c>
      <c r="Q24" s="224">
        <v>0</v>
      </c>
      <c r="R24" s="184"/>
      <c r="S24" s="230"/>
      <c r="T24" s="207">
        <f>[1]!'AI[20].group'</f>
        <v>1</v>
      </c>
      <c r="U24" s="230"/>
      <c r="V24" s="209"/>
      <c r="X24" s="207">
        <f>[1]!'AI[20].EN'</f>
        <v>1</v>
      </c>
      <c r="Y24" s="207">
        <f>[1]!'AI[20].i'</f>
        <v>2.5129319999999998E-3</v>
      </c>
      <c r="Z24" s="207">
        <f>[1]!'AI[20].isForce'</f>
        <v>0</v>
      </c>
      <c r="AA24" s="207" t="e">
        <f>[1]!'AI[20].vRaw'</f>
        <v>#REF!</v>
      </c>
      <c r="AB24" s="207">
        <f>[1]!'AI[20].isCorrect'</f>
        <v>0</v>
      </c>
      <c r="AC24" s="207" t="e">
        <f>[1]!'AI[20].vCorrect'</f>
        <v>#REF!</v>
      </c>
      <c r="AD24" s="207">
        <f>[1]!'AI[20].v'</f>
        <v>0</v>
      </c>
      <c r="AE24" s="207" t="e">
        <f>[1]!'AI[20].isCut'</f>
        <v>#REF!</v>
      </c>
      <c r="AF24" s="207" t="e">
        <f>[1]!'AI[20].vCut'</f>
        <v>#REF!</v>
      </c>
      <c r="AG24" s="208"/>
      <c r="AH24" s="207">
        <f>[1]!'AI[20].break.sgn'</f>
        <v>1</v>
      </c>
      <c r="AI24" s="208"/>
      <c r="AJ24" s="207">
        <f>[1]!'AI[20].ZL'</f>
        <v>0</v>
      </c>
      <c r="AK24" s="207">
        <f>[1]!'AI[20].ZH'</f>
        <v>100</v>
      </c>
      <c r="AL24" s="208"/>
      <c r="AM24" s="207">
        <f>[1]!'AI[20].RL.EN'</f>
        <v>1</v>
      </c>
      <c r="AN24" s="207">
        <f>[1]!'AI[20].RL.V'</f>
        <v>20</v>
      </c>
      <c r="AO24" s="207">
        <f>[1]!'AI[20].RL.fix'</f>
        <v>0</v>
      </c>
      <c r="AP24" s="208"/>
      <c r="AQ24" s="207">
        <f>[1]!'AI[20].RH.EN'</f>
        <v>1</v>
      </c>
      <c r="AR24" s="207">
        <f>[1]!'AI[20].RH.V'</f>
        <v>80</v>
      </c>
      <c r="AS24" s="207">
        <f>[1]!'AI[20].RH.fix'</f>
        <v>0</v>
      </c>
      <c r="AT24" s="208"/>
      <c r="AU24" s="207">
        <f>[1]!'AI[20].L.EN'</f>
        <v>0</v>
      </c>
      <c r="AV24" s="207">
        <f>[1]!'AI[20].L.V'</f>
        <v>0</v>
      </c>
      <c r="AW24" s="207">
        <f>[1]!'AI[20].L.fix'</f>
        <v>0</v>
      </c>
      <c r="AX24" s="208"/>
      <c r="AY24" s="207">
        <f>[1]!'AI[20].H.EN'</f>
        <v>0</v>
      </c>
      <c r="AZ24" s="207">
        <f>[1]!'AI[20].H.V'</f>
        <v>0</v>
      </c>
      <c r="BA24" s="207">
        <f>[1]!'AI[20].H.fix'</f>
        <v>0</v>
      </c>
      <c r="BB24" s="208"/>
      <c r="BC24" s="207">
        <f>[1]!'AI[20].LL.EN'</f>
        <v>0</v>
      </c>
      <c r="BD24" s="207">
        <f>[1]!'AI[20].LL.V'</f>
        <v>0</v>
      </c>
      <c r="BE24" s="207">
        <f>[1]!'AI[20].LL.fix'</f>
        <v>0</v>
      </c>
      <c r="BF24" s="208"/>
      <c r="BG24" s="207">
        <f>[1]!'AI[20].HH.EN'</f>
        <v>0</v>
      </c>
      <c r="BH24" s="207">
        <f>[1]!'AI[20].HH.V'</f>
        <v>0</v>
      </c>
      <c r="BI24" s="207">
        <f>[1]!'AI[20].HH.fix'</f>
        <v>0</v>
      </c>
      <c r="BJ24" s="209"/>
      <c r="BK24" s="207">
        <f>[1]!'AI[20].group'</f>
        <v>1</v>
      </c>
      <c r="BL24" s="207">
        <f>[1]!'AI[20].state'</f>
        <v>4</v>
      </c>
      <c r="BM24" s="207">
        <f>[1]!'AI[20].isInvScale'</f>
        <v>0</v>
      </c>
    </row>
    <row r="25" spans="1:65">
      <c r="A25" s="445"/>
      <c r="B25" s="446"/>
      <c r="C25" s="221">
        <v>5</v>
      </c>
      <c r="D25" s="221">
        <v>5</v>
      </c>
      <c r="E25" s="222" t="s">
        <v>375</v>
      </c>
      <c r="F25" s="222" t="s">
        <v>376</v>
      </c>
      <c r="G25" s="207">
        <f>[1]!'AI[21].ZL'</f>
        <v>0</v>
      </c>
      <c r="H25" s="207">
        <f>[1]!'AI[21].ZH'</f>
        <v>100</v>
      </c>
      <c r="I25" s="221" t="s">
        <v>366</v>
      </c>
      <c r="J25" s="207">
        <f>[1]!'AI[21].RL.V'</f>
        <v>20</v>
      </c>
      <c r="K25" s="207">
        <f>[1]!'AI[21].RH.V'</f>
        <v>80</v>
      </c>
      <c r="L25" s="207">
        <f>[1]!'AI[21].L.V'</f>
        <v>0</v>
      </c>
      <c r="M25" s="207">
        <f>[1]!'AI[21].H.V'</f>
        <v>0</v>
      </c>
      <c r="N25" s="207">
        <f>[1]!'AI[21].LL.V'</f>
        <v>0</v>
      </c>
      <c r="O25" s="207">
        <f>[1]!'AI[21].HH.V'</f>
        <v>0</v>
      </c>
      <c r="P25" s="223">
        <v>1</v>
      </c>
      <c r="Q25" s="224">
        <v>0</v>
      </c>
      <c r="R25" s="184"/>
      <c r="S25" s="230"/>
      <c r="T25" s="207">
        <f>[1]!'AI[21].group'</f>
        <v>1</v>
      </c>
      <c r="U25" s="230"/>
      <c r="V25" s="230"/>
      <c r="X25" s="207">
        <f>[1]!'AI[21].EN'</f>
        <v>1</v>
      </c>
      <c r="Y25" s="207">
        <f>[1]!'AI[21].i'</f>
        <v>2.8266910000000001E-3</v>
      </c>
      <c r="Z25" s="207">
        <f>[1]!'AI[21].isForce'</f>
        <v>0</v>
      </c>
      <c r="AA25" s="207" t="e">
        <f>[1]!'AI[21].vRaw'</f>
        <v>#REF!</v>
      </c>
      <c r="AB25" s="207">
        <f>[1]!'AI[21].isCorrect'</f>
        <v>0</v>
      </c>
      <c r="AC25" s="207" t="e">
        <f>[1]!'AI[21].vCorrect'</f>
        <v>#REF!</v>
      </c>
      <c r="AD25" s="207">
        <f>[1]!'AI[21].v'</f>
        <v>0</v>
      </c>
      <c r="AE25" s="207" t="e">
        <f>[1]!'AI[21].isCut'</f>
        <v>#REF!</v>
      </c>
      <c r="AF25" s="207" t="e">
        <f>[1]!'AI[21].vCut'</f>
        <v>#REF!</v>
      </c>
      <c r="AG25" s="208"/>
      <c r="AH25" s="207">
        <f>[1]!'AI[21].break.sgn'</f>
        <v>1</v>
      </c>
      <c r="AI25" s="208"/>
      <c r="AJ25" s="207">
        <f>[1]!'AI[21].ZL'</f>
        <v>0</v>
      </c>
      <c r="AK25" s="207">
        <f>[1]!'AI[21].ZH'</f>
        <v>100</v>
      </c>
      <c r="AL25" s="208"/>
      <c r="AM25" s="207">
        <f>[1]!'AI[21].RL.EN'</f>
        <v>1</v>
      </c>
      <c r="AN25" s="207">
        <f>[1]!'AI[21].RL.V'</f>
        <v>20</v>
      </c>
      <c r="AO25" s="207">
        <f>[1]!'AI[21].RL.fix'</f>
        <v>0</v>
      </c>
      <c r="AP25" s="208"/>
      <c r="AQ25" s="207">
        <f>[1]!'AI[21].RH.EN'</f>
        <v>1</v>
      </c>
      <c r="AR25" s="207">
        <f>[1]!'AI[21].RH.V'</f>
        <v>80</v>
      </c>
      <c r="AS25" s="207">
        <f>[1]!'AI[21].RH.fix'</f>
        <v>0</v>
      </c>
      <c r="AT25" s="208"/>
      <c r="AU25" s="207">
        <f>[1]!'AI[21].L.EN'</f>
        <v>0</v>
      </c>
      <c r="AV25" s="207">
        <f>[1]!'AI[21].L.V'</f>
        <v>0</v>
      </c>
      <c r="AW25" s="207">
        <f>[1]!'AI[21].L.fix'</f>
        <v>0</v>
      </c>
      <c r="AX25" s="208"/>
      <c r="AY25" s="207">
        <f>[1]!'AI[21].H.EN'</f>
        <v>0</v>
      </c>
      <c r="AZ25" s="207">
        <f>[1]!'AI[21].H.V'</f>
        <v>0</v>
      </c>
      <c r="BA25" s="207">
        <f>[1]!'AI[21].H.fix'</f>
        <v>0</v>
      </c>
      <c r="BB25" s="208"/>
      <c r="BC25" s="207">
        <f>[1]!'AI[21].LL.EN'</f>
        <v>0</v>
      </c>
      <c r="BD25" s="207">
        <f>[1]!'AI[21].LL.V'</f>
        <v>0</v>
      </c>
      <c r="BE25" s="207">
        <f>[1]!'AI[21].LL.fix'</f>
        <v>0</v>
      </c>
      <c r="BF25" s="208"/>
      <c r="BG25" s="207">
        <f>[1]!'AI[21].HH.EN'</f>
        <v>0</v>
      </c>
      <c r="BH25" s="207">
        <f>[1]!'AI[21].HH.V'</f>
        <v>0</v>
      </c>
      <c r="BI25" s="207">
        <f>[1]!'AI[21].HH.fix'</f>
        <v>0</v>
      </c>
      <c r="BJ25" s="209"/>
      <c r="BK25" s="207">
        <f>[1]!'AI[21].group'</f>
        <v>1</v>
      </c>
      <c r="BL25" s="207">
        <f>[1]!'AI[21].state'</f>
        <v>4</v>
      </c>
      <c r="BM25" s="207">
        <f>[1]!'AI[21].isInvScale'</f>
        <v>0</v>
      </c>
    </row>
    <row r="26" spans="1:65">
      <c r="A26" s="445"/>
      <c r="B26" s="446"/>
      <c r="C26" s="221">
        <v>6</v>
      </c>
      <c r="D26" s="221">
        <v>6</v>
      </c>
      <c r="E26" s="222" t="s">
        <v>377</v>
      </c>
      <c r="F26" s="222" t="s">
        <v>378</v>
      </c>
      <c r="G26" s="207">
        <f>[1]!'AI[22].ZL'</f>
        <v>0</v>
      </c>
      <c r="H26" s="207">
        <f>[1]!'AI[22].ZH'</f>
        <v>100</v>
      </c>
      <c r="I26" s="221" t="s">
        <v>366</v>
      </c>
      <c r="J26" s="207">
        <f>[1]!'AI[22].RL.V'</f>
        <v>20</v>
      </c>
      <c r="K26" s="207">
        <f>[1]!'AI[22].RH.V'</f>
        <v>80</v>
      </c>
      <c r="L26" s="207">
        <f>[1]!'AI[22].L.V'</f>
        <v>0</v>
      </c>
      <c r="M26" s="207">
        <f>[1]!'AI[22].H.V'</f>
        <v>0</v>
      </c>
      <c r="N26" s="207">
        <f>[1]!'AI[22].LL.V'</f>
        <v>0</v>
      </c>
      <c r="O26" s="207">
        <f>[1]!'AI[22].HH.V'</f>
        <v>0</v>
      </c>
      <c r="P26" s="223">
        <v>1</v>
      </c>
      <c r="Q26" s="224">
        <v>0</v>
      </c>
      <c r="R26" s="184"/>
      <c r="S26" s="230"/>
      <c r="T26" s="207">
        <f>[1]!'AI[22].group'</f>
        <v>1</v>
      </c>
      <c r="U26" s="230"/>
      <c r="V26" s="230"/>
      <c r="X26" s="207">
        <f>[1]!'AI[22].EN'</f>
        <v>1</v>
      </c>
      <c r="Y26" s="207">
        <f>[1]!'AI[22].i'</f>
        <v>2.8266910000000001E-3</v>
      </c>
      <c r="Z26" s="207">
        <f>[1]!'AI[22].isForce'</f>
        <v>0</v>
      </c>
      <c r="AA26" s="207" t="e">
        <f>[1]!'AI[22].vRaw'</f>
        <v>#REF!</v>
      </c>
      <c r="AB26" s="207">
        <f>[1]!'AI[22].isCorrect'</f>
        <v>0</v>
      </c>
      <c r="AC26" s="207" t="e">
        <f>[1]!'AI[22].vCorrect'</f>
        <v>#REF!</v>
      </c>
      <c r="AD26" s="207">
        <f>[1]!'AI[22].v'</f>
        <v>0</v>
      </c>
      <c r="AE26" s="207" t="e">
        <f>[1]!'AI[22].isCut'</f>
        <v>#REF!</v>
      </c>
      <c r="AF26" s="207" t="e">
        <f>[1]!'AI[22].vCut'</f>
        <v>#REF!</v>
      </c>
      <c r="AG26" s="208"/>
      <c r="AH26" s="207">
        <f>[1]!'AI[22].break.sgn'</f>
        <v>1</v>
      </c>
      <c r="AI26" s="208"/>
      <c r="AJ26" s="207">
        <f>[1]!'AI[22].ZL'</f>
        <v>0</v>
      </c>
      <c r="AK26" s="207">
        <f>[1]!'AI[22].ZH'</f>
        <v>100</v>
      </c>
      <c r="AL26" s="208"/>
      <c r="AM26" s="207">
        <f>[1]!'AI[22].RL.EN'</f>
        <v>1</v>
      </c>
      <c r="AN26" s="207">
        <f>[1]!'AI[22].RL.V'</f>
        <v>20</v>
      </c>
      <c r="AO26" s="207">
        <f>[1]!'AI[22].RL.fix'</f>
        <v>0</v>
      </c>
      <c r="AP26" s="208"/>
      <c r="AQ26" s="207">
        <f>[1]!'AI[22].RH.EN'</f>
        <v>1</v>
      </c>
      <c r="AR26" s="207">
        <f>[1]!'AI[22].RH.V'</f>
        <v>80</v>
      </c>
      <c r="AS26" s="207">
        <f>[1]!'AI[22].RH.fix'</f>
        <v>0</v>
      </c>
      <c r="AT26" s="208"/>
      <c r="AU26" s="207">
        <f>[1]!'AI[22].L.EN'</f>
        <v>0</v>
      </c>
      <c r="AV26" s="207">
        <f>[1]!'AI[22].L.V'</f>
        <v>0</v>
      </c>
      <c r="AW26" s="207">
        <f>[1]!'AI[22].L.fix'</f>
        <v>0</v>
      </c>
      <c r="AX26" s="208"/>
      <c r="AY26" s="207">
        <f>[1]!'AI[22].H.EN'</f>
        <v>0</v>
      </c>
      <c r="AZ26" s="207">
        <f>[1]!'AI[22].H.V'</f>
        <v>0</v>
      </c>
      <c r="BA26" s="207">
        <f>[1]!'AI[22].H.fix'</f>
        <v>0</v>
      </c>
      <c r="BB26" s="208"/>
      <c r="BC26" s="207">
        <f>[1]!'AI[22].LL.EN'</f>
        <v>0</v>
      </c>
      <c r="BD26" s="207">
        <f>[1]!'AI[22].LL.V'</f>
        <v>0</v>
      </c>
      <c r="BE26" s="207">
        <f>[1]!'AI[22].LL.fix'</f>
        <v>0</v>
      </c>
      <c r="BF26" s="208"/>
      <c r="BG26" s="207">
        <f>[1]!'AI[22].HH.EN'</f>
        <v>0</v>
      </c>
      <c r="BH26" s="207">
        <f>[1]!'AI[22].HH.V'</f>
        <v>0</v>
      </c>
      <c r="BI26" s="207">
        <f>[1]!'AI[22].HH.fix'</f>
        <v>0</v>
      </c>
      <c r="BJ26" s="209"/>
      <c r="BK26" s="207">
        <f>[1]!'AI[22].group'</f>
        <v>1</v>
      </c>
      <c r="BL26" s="207">
        <f>[1]!'AI[22].state'</f>
        <v>4</v>
      </c>
      <c r="BM26" s="207">
        <f>[1]!'AI[22].isInvScale'</f>
        <v>0</v>
      </c>
    </row>
    <row r="27" spans="1:65">
      <c r="A27" s="445"/>
      <c r="B27" s="446"/>
      <c r="C27" s="221">
        <v>7</v>
      </c>
      <c r="D27" s="221">
        <v>7</v>
      </c>
      <c r="E27" s="222" t="s">
        <v>379</v>
      </c>
      <c r="F27" s="222" t="s">
        <v>380</v>
      </c>
      <c r="G27" s="207">
        <f>[1]!'AI[23].ZL'</f>
        <v>0</v>
      </c>
      <c r="H27" s="207">
        <f>[1]!'AI[23].ZH'</f>
        <v>100</v>
      </c>
      <c r="I27" s="221" t="s">
        <v>366</v>
      </c>
      <c r="J27" s="207">
        <f>[1]!'AI[23].RL.V'</f>
        <v>20</v>
      </c>
      <c r="K27" s="207">
        <f>[1]!'AI[23].RH.V'</f>
        <v>80</v>
      </c>
      <c r="L27" s="207">
        <f>[1]!'AI[23].L.V'</f>
        <v>0</v>
      </c>
      <c r="M27" s="207">
        <f>[1]!'AI[23].H.V'</f>
        <v>0</v>
      </c>
      <c r="N27" s="207">
        <f>[1]!'AI[23].LL.V'</f>
        <v>0</v>
      </c>
      <c r="O27" s="207">
        <f>[1]!'AI[23].HH.V'</f>
        <v>0</v>
      </c>
      <c r="P27" s="223">
        <v>1</v>
      </c>
      <c r="Q27" s="224">
        <v>0</v>
      </c>
      <c r="R27" s="184"/>
      <c r="S27" s="230"/>
      <c r="T27" s="207">
        <f>[1]!'AI[23].group'</f>
        <v>1</v>
      </c>
      <c r="U27" s="230"/>
      <c r="V27" s="230"/>
      <c r="X27" s="207">
        <f>[1]!'AI[23].EN'</f>
        <v>1</v>
      </c>
      <c r="Y27" s="207">
        <f>[1]!'AI[23].i'</f>
        <v>3.1404499999999999E-3</v>
      </c>
      <c r="Z27" s="207">
        <f>[1]!'AI[23].isForce'</f>
        <v>0</v>
      </c>
      <c r="AA27" s="207" t="e">
        <f>[1]!'AI[23].vRaw'</f>
        <v>#REF!</v>
      </c>
      <c r="AB27" s="207">
        <f>[1]!'AI[23].isCorrect'</f>
        <v>0</v>
      </c>
      <c r="AC27" s="207" t="e">
        <f>[1]!'AI[23].vCorrect'</f>
        <v>#REF!</v>
      </c>
      <c r="AD27" s="207">
        <f>[1]!'AI[23].v'</f>
        <v>0</v>
      </c>
      <c r="AE27" s="207" t="e">
        <f>[1]!'AI[23].isCut'</f>
        <v>#REF!</v>
      </c>
      <c r="AF27" s="207" t="e">
        <f>[1]!'AI[23].vCut'</f>
        <v>#REF!</v>
      </c>
      <c r="AG27" s="208"/>
      <c r="AH27" s="207">
        <f>[1]!'AI[23].break.sgn'</f>
        <v>1</v>
      </c>
      <c r="AI27" s="208"/>
      <c r="AJ27" s="207">
        <f>[1]!'AI[23].ZL'</f>
        <v>0</v>
      </c>
      <c r="AK27" s="207">
        <f>[1]!'AI[23].ZH'</f>
        <v>100</v>
      </c>
      <c r="AL27" s="208"/>
      <c r="AM27" s="207">
        <f>[1]!'AI[23].RL.EN'</f>
        <v>1</v>
      </c>
      <c r="AN27" s="207">
        <f>[1]!'AI[23].RL.V'</f>
        <v>20</v>
      </c>
      <c r="AO27" s="207">
        <f>[1]!'AI[23].RL.fix'</f>
        <v>0</v>
      </c>
      <c r="AP27" s="208"/>
      <c r="AQ27" s="207">
        <f>[1]!'AI[23].RH.EN'</f>
        <v>1</v>
      </c>
      <c r="AR27" s="207">
        <f>[1]!'AI[23].RH.V'</f>
        <v>80</v>
      </c>
      <c r="AS27" s="207">
        <f>[1]!'AI[23].RH.fix'</f>
        <v>0</v>
      </c>
      <c r="AT27" s="208"/>
      <c r="AU27" s="207">
        <f>[1]!'AI[23].L.EN'</f>
        <v>0</v>
      </c>
      <c r="AV27" s="207">
        <f>[1]!'AI[23].L.V'</f>
        <v>0</v>
      </c>
      <c r="AW27" s="207">
        <f>[1]!'AI[23].L.fix'</f>
        <v>0</v>
      </c>
      <c r="AX27" s="208"/>
      <c r="AY27" s="207">
        <f>[1]!'AI[23].H.EN'</f>
        <v>0</v>
      </c>
      <c r="AZ27" s="207">
        <f>[1]!'AI[23].H.V'</f>
        <v>0</v>
      </c>
      <c r="BA27" s="207">
        <f>[1]!'AI[23].H.fix'</f>
        <v>0</v>
      </c>
      <c r="BB27" s="208"/>
      <c r="BC27" s="207">
        <f>[1]!'AI[23].LL.EN'</f>
        <v>0</v>
      </c>
      <c r="BD27" s="207">
        <f>[1]!'AI[23].LL.V'</f>
        <v>0</v>
      </c>
      <c r="BE27" s="207">
        <f>[1]!'AI[23].LL.fix'</f>
        <v>0</v>
      </c>
      <c r="BF27" s="208"/>
      <c r="BG27" s="207">
        <f>[1]!'AI[23].HH.EN'</f>
        <v>0</v>
      </c>
      <c r="BH27" s="207">
        <f>[1]!'AI[23].HH.V'</f>
        <v>0</v>
      </c>
      <c r="BI27" s="207">
        <f>[1]!'AI[23].HH.fix'</f>
        <v>0</v>
      </c>
      <c r="BJ27" s="209"/>
      <c r="BK27" s="207">
        <f>[1]!'AI[23].group'</f>
        <v>1</v>
      </c>
      <c r="BL27" s="207">
        <f>[1]!'AI[23].state'</f>
        <v>4</v>
      </c>
      <c r="BM27" s="207">
        <f>[1]!'AI[23].isInvScale'</f>
        <v>0</v>
      </c>
    </row>
    <row r="28" spans="1:65">
      <c r="A28" s="445"/>
      <c r="B28" s="446"/>
      <c r="C28" s="221">
        <v>8</v>
      </c>
      <c r="D28" s="221">
        <v>8</v>
      </c>
      <c r="E28" s="222" t="s">
        <v>381</v>
      </c>
      <c r="F28" s="222" t="s">
        <v>382</v>
      </c>
      <c r="G28" s="207">
        <f>[1]!'AI[24].ZL'</f>
        <v>0</v>
      </c>
      <c r="H28" s="207">
        <f>[1]!'AI[24].ZH'</f>
        <v>100</v>
      </c>
      <c r="I28" s="221" t="s">
        <v>383</v>
      </c>
      <c r="J28" s="207">
        <f>[1]!'AI[24].RL.V'</f>
        <v>20</v>
      </c>
      <c r="K28" s="207">
        <f>[1]!'AI[24].RH.V'</f>
        <v>80</v>
      </c>
      <c r="L28" s="207">
        <f>[1]!'AI[24].L.V'</f>
        <v>0</v>
      </c>
      <c r="M28" s="207">
        <f>[1]!'AI[24].H.V'</f>
        <v>0</v>
      </c>
      <c r="N28" s="207">
        <f>[1]!'AI[24].LL.V'</f>
        <v>0</v>
      </c>
      <c r="O28" s="207">
        <f>[1]!'AI[24].HH.V'</f>
        <v>0</v>
      </c>
      <c r="P28" s="223">
        <v>1</v>
      </c>
      <c r="Q28" s="224"/>
      <c r="R28" s="184"/>
      <c r="S28" s="230"/>
      <c r="T28" s="207">
        <f>[1]!'AI[24].group'</f>
        <v>1</v>
      </c>
      <c r="U28" s="230"/>
      <c r="V28" s="230"/>
      <c r="X28" s="207">
        <f>[1]!'AI[24].EN'</f>
        <v>1</v>
      </c>
      <c r="Y28" s="207">
        <f>[1]!'AI[24].i'</f>
        <v>2.5129319999999998E-3</v>
      </c>
      <c r="Z28" s="207">
        <f>[1]!'AI[24].isForce'</f>
        <v>0</v>
      </c>
      <c r="AA28" s="207" t="e">
        <f>[1]!'AI[24].vRaw'</f>
        <v>#REF!</v>
      </c>
      <c r="AB28" s="207">
        <f>[1]!'AI[24].isCorrect'</f>
        <v>0</v>
      </c>
      <c r="AC28" s="207" t="e">
        <f>[1]!'AI[24].vCorrect'</f>
        <v>#REF!</v>
      </c>
      <c r="AD28" s="207">
        <f>[1]!'AI[24].v'</f>
        <v>0</v>
      </c>
      <c r="AE28" s="207" t="e">
        <f>[1]!'AI[24].isCut'</f>
        <v>#REF!</v>
      </c>
      <c r="AF28" s="207" t="e">
        <f>[1]!'AI[24].vCut'</f>
        <v>#REF!</v>
      </c>
      <c r="AG28" s="208"/>
      <c r="AH28" s="207">
        <f>[1]!'AI[24].break.sgn'</f>
        <v>1</v>
      </c>
      <c r="AI28" s="208"/>
      <c r="AJ28" s="207">
        <f>[1]!'AI[24].ZL'</f>
        <v>0</v>
      </c>
      <c r="AK28" s="207">
        <f>[1]!'AI[24].ZH'</f>
        <v>100</v>
      </c>
      <c r="AL28" s="208"/>
      <c r="AM28" s="207">
        <f>[1]!'AI[24].RL.EN'</f>
        <v>1</v>
      </c>
      <c r="AN28" s="207">
        <f>[1]!'AI[24].RL.V'</f>
        <v>20</v>
      </c>
      <c r="AO28" s="207">
        <f>[1]!'AI[24].RL.fix'</f>
        <v>0</v>
      </c>
      <c r="AP28" s="208"/>
      <c r="AQ28" s="207">
        <f>[1]!'AI[24].RH.EN'</f>
        <v>1</v>
      </c>
      <c r="AR28" s="207">
        <f>[1]!'AI[24].RH.V'</f>
        <v>80</v>
      </c>
      <c r="AS28" s="207">
        <f>[1]!'AI[24].RH.fix'</f>
        <v>0</v>
      </c>
      <c r="AT28" s="208"/>
      <c r="AU28" s="207">
        <f>[1]!'AI[24].L.EN'</f>
        <v>0</v>
      </c>
      <c r="AV28" s="207">
        <f>[1]!'AI[24].L.V'</f>
        <v>0</v>
      </c>
      <c r="AW28" s="207">
        <f>[1]!'AI[24].L.fix'</f>
        <v>0</v>
      </c>
      <c r="AX28" s="208"/>
      <c r="AY28" s="207">
        <f>[1]!'AI[24].H.EN'</f>
        <v>0</v>
      </c>
      <c r="AZ28" s="207">
        <f>[1]!'AI[24].H.V'</f>
        <v>0</v>
      </c>
      <c r="BA28" s="207">
        <f>[1]!'AI[24].H.fix'</f>
        <v>0</v>
      </c>
      <c r="BB28" s="208"/>
      <c r="BC28" s="207">
        <f>[1]!'AI[24].LL.EN'</f>
        <v>0</v>
      </c>
      <c r="BD28" s="207">
        <f>[1]!'AI[24].LL.V'</f>
        <v>0</v>
      </c>
      <c r="BE28" s="207">
        <f>[1]!'AI[24].LL.fix'</f>
        <v>0</v>
      </c>
      <c r="BF28" s="208"/>
      <c r="BG28" s="207">
        <f>[1]!'AI[24].HH.EN'</f>
        <v>0</v>
      </c>
      <c r="BH28" s="207">
        <f>[1]!'AI[24].HH.V'</f>
        <v>0</v>
      </c>
      <c r="BI28" s="207">
        <f>[1]!'AI[24].HH.fix'</f>
        <v>0</v>
      </c>
      <c r="BJ28" s="209"/>
      <c r="BK28" s="207">
        <f>[1]!'AI[24].group'</f>
        <v>1</v>
      </c>
      <c r="BL28" s="207">
        <f>[1]!'AI[24].state'</f>
        <v>4</v>
      </c>
      <c r="BM28" s="207">
        <f>[1]!'AI[24].isInvScale'</f>
        <v>0</v>
      </c>
    </row>
    <row r="29" spans="1:65">
      <c r="A29" s="445"/>
      <c r="B29" s="446"/>
      <c r="C29" s="221">
        <v>9</v>
      </c>
      <c r="D29" s="221">
        <v>9</v>
      </c>
      <c r="E29" s="222" t="s">
        <v>384</v>
      </c>
      <c r="F29" s="222" t="s">
        <v>385</v>
      </c>
      <c r="G29" s="207">
        <f>[1]!'AI[25].ZL'</f>
        <v>0</v>
      </c>
      <c r="H29" s="207">
        <f>[1]!'AI[25].ZH'</f>
        <v>300</v>
      </c>
      <c r="I29" s="221" t="s">
        <v>383</v>
      </c>
      <c r="J29" s="207">
        <f>[1]!'AI[25].RL.V'</f>
        <v>160</v>
      </c>
      <c r="K29" s="207">
        <f>[1]!'AI[25].RH.V'</f>
        <v>170</v>
      </c>
      <c r="L29" s="207">
        <f>[1]!'AI[25].L.V'</f>
        <v>0</v>
      </c>
      <c r="M29" s="207">
        <f>[1]!'AI[25].H.V'</f>
        <v>0</v>
      </c>
      <c r="N29" s="207">
        <f>[1]!'AI[25].LL.V'</f>
        <v>0</v>
      </c>
      <c r="O29" s="207">
        <f>[1]!'AI[25].HH.V'</f>
        <v>0</v>
      </c>
      <c r="P29" s="223">
        <v>1</v>
      </c>
      <c r="Q29" s="224"/>
      <c r="R29" s="184"/>
      <c r="S29" s="230"/>
      <c r="T29" s="207">
        <f>[1]!'AI[25].group'</f>
        <v>1</v>
      </c>
      <c r="U29" s="230"/>
      <c r="V29" s="230"/>
      <c r="X29" s="207">
        <f>[1]!'AI[25].EN'</f>
        <v>1</v>
      </c>
      <c r="Y29" s="207">
        <f>[1]!'AI[25].i'</f>
        <v>2.8266910000000001E-3</v>
      </c>
      <c r="Z29" s="207">
        <f>[1]!'AI[25].isForce'</f>
        <v>0</v>
      </c>
      <c r="AA29" s="207" t="e">
        <f>[1]!'AI[25].vRaw'</f>
        <v>#REF!</v>
      </c>
      <c r="AB29" s="207">
        <f>[1]!'AI[25].isCorrect'</f>
        <v>0</v>
      </c>
      <c r="AC29" s="207" t="e">
        <f>[1]!'AI[25].vCorrect'</f>
        <v>#REF!</v>
      </c>
      <c r="AD29" s="207">
        <f>[1]!'AI[25].v'</f>
        <v>0</v>
      </c>
      <c r="AE29" s="207" t="e">
        <f>[1]!'AI[25].isCut'</f>
        <v>#REF!</v>
      </c>
      <c r="AF29" s="207" t="e">
        <f>[1]!'AI[25].vCut'</f>
        <v>#REF!</v>
      </c>
      <c r="AG29" s="208"/>
      <c r="AH29" s="207">
        <f>[1]!'AI[25].break.sgn'</f>
        <v>1</v>
      </c>
      <c r="AI29" s="208"/>
      <c r="AJ29" s="207">
        <f>[1]!'AI[25].ZL'</f>
        <v>0</v>
      </c>
      <c r="AK29" s="207">
        <f>[1]!'AI[25].ZH'</f>
        <v>300</v>
      </c>
      <c r="AL29" s="208"/>
      <c r="AM29" s="207">
        <f>[1]!'AI[25].RL.EN'</f>
        <v>1</v>
      </c>
      <c r="AN29" s="207">
        <f>[1]!'AI[25].RL.V'</f>
        <v>160</v>
      </c>
      <c r="AO29" s="207">
        <f>[1]!'AI[25].RL.fix'</f>
        <v>0</v>
      </c>
      <c r="AP29" s="208"/>
      <c r="AQ29" s="207">
        <f>[1]!'AI[25].RH.EN'</f>
        <v>1</v>
      </c>
      <c r="AR29" s="207">
        <f>[1]!'AI[25].RH.V'</f>
        <v>170</v>
      </c>
      <c r="AS29" s="207">
        <f>[1]!'AI[25].RH.fix'</f>
        <v>0</v>
      </c>
      <c r="AT29" s="208"/>
      <c r="AU29" s="207">
        <f>[1]!'AI[25].L.EN'</f>
        <v>0</v>
      </c>
      <c r="AV29" s="207">
        <f>[1]!'AI[25].L.V'</f>
        <v>0</v>
      </c>
      <c r="AW29" s="207">
        <f>[1]!'AI[25].L.fix'</f>
        <v>0</v>
      </c>
      <c r="AX29" s="208"/>
      <c r="AY29" s="207">
        <f>[1]!'AI[25].H.EN'</f>
        <v>0</v>
      </c>
      <c r="AZ29" s="207">
        <f>[1]!'AI[25].H.V'</f>
        <v>0</v>
      </c>
      <c r="BA29" s="207">
        <f>[1]!'AI[25].H.fix'</f>
        <v>0</v>
      </c>
      <c r="BB29" s="208"/>
      <c r="BC29" s="207">
        <f>[1]!'AI[25].LL.EN'</f>
        <v>0</v>
      </c>
      <c r="BD29" s="207">
        <f>[1]!'AI[25].LL.V'</f>
        <v>0</v>
      </c>
      <c r="BE29" s="207">
        <f>[1]!'AI[25].LL.fix'</f>
        <v>0</v>
      </c>
      <c r="BF29" s="208"/>
      <c r="BG29" s="207">
        <f>[1]!'AI[25].HH.EN'</f>
        <v>0</v>
      </c>
      <c r="BH29" s="207">
        <f>[1]!'AI[25].HH.V'</f>
        <v>0</v>
      </c>
      <c r="BI29" s="207">
        <f>[1]!'AI[25].HH.fix'</f>
        <v>0</v>
      </c>
      <c r="BJ29" s="209"/>
      <c r="BK29" s="207">
        <f>[1]!'AI[25].group'</f>
        <v>1</v>
      </c>
      <c r="BL29" s="207">
        <f>[1]!'AI[25].state'</f>
        <v>4</v>
      </c>
      <c r="BM29" s="207">
        <f>[1]!'AI[25].isInvScale'</f>
        <v>0</v>
      </c>
    </row>
    <row r="30" spans="1:65">
      <c r="A30" s="445"/>
      <c r="B30" s="446"/>
      <c r="C30" s="221">
        <v>10</v>
      </c>
      <c r="D30" s="221">
        <v>10</v>
      </c>
      <c r="E30" s="222" t="s">
        <v>386</v>
      </c>
      <c r="F30" s="222" t="s">
        <v>387</v>
      </c>
      <c r="G30" s="207">
        <f>[1]!'AI[26].ZL'</f>
        <v>0</v>
      </c>
      <c r="H30" s="207">
        <f>[1]!'AI[26].ZH'</f>
        <v>300</v>
      </c>
      <c r="I30" s="221" t="s">
        <v>366</v>
      </c>
      <c r="J30" s="207">
        <f>[1]!'AI[26].RL.V'</f>
        <v>160</v>
      </c>
      <c r="K30" s="207">
        <f>[1]!'AI[26].RH.V'</f>
        <v>170</v>
      </c>
      <c r="L30" s="207">
        <f>[1]!'AI[26].L.V'</f>
        <v>0</v>
      </c>
      <c r="M30" s="207">
        <f>[1]!'AI[26].H.V'</f>
        <v>0</v>
      </c>
      <c r="N30" s="207">
        <f>[1]!'AI[26].LL.V'</f>
        <v>0</v>
      </c>
      <c r="O30" s="207">
        <f>[1]!'AI[26].HH.V'</f>
        <v>0</v>
      </c>
      <c r="P30" s="223">
        <v>4</v>
      </c>
      <c r="Q30" s="224">
        <v>3</v>
      </c>
      <c r="R30" s="184"/>
      <c r="S30" s="229"/>
      <c r="T30" s="207">
        <f>[1]!'AI[26].group'</f>
        <v>1</v>
      </c>
      <c r="U30" s="229"/>
      <c r="V30" s="229"/>
      <c r="X30" s="207">
        <f>[1]!'AI[26].EN'</f>
        <v>1</v>
      </c>
      <c r="Y30" s="207">
        <f>[1]!'AI[26].i'</f>
        <v>2.8266910000000001E-3</v>
      </c>
      <c r="Z30" s="207">
        <f>[1]!'AI[26].isForce'</f>
        <v>0</v>
      </c>
      <c r="AA30" s="207" t="e">
        <f>[1]!'AI[26].vRaw'</f>
        <v>#REF!</v>
      </c>
      <c r="AB30" s="207">
        <f>[1]!'AI[26].isCorrect'</f>
        <v>0</v>
      </c>
      <c r="AC30" s="207" t="e">
        <f>[1]!'AI[26].vCorrect'</f>
        <v>#REF!</v>
      </c>
      <c r="AD30" s="207">
        <f>[1]!'AI[26].v'</f>
        <v>0</v>
      </c>
      <c r="AE30" s="207" t="e">
        <f>[1]!'AI[26].isCut'</f>
        <v>#REF!</v>
      </c>
      <c r="AF30" s="207" t="e">
        <f>[1]!'AI[26].vCut'</f>
        <v>#REF!</v>
      </c>
      <c r="AG30" s="208"/>
      <c r="AH30" s="207">
        <f>[1]!'AI[26].break.sgn'</f>
        <v>1</v>
      </c>
      <c r="AI30" s="208"/>
      <c r="AJ30" s="207">
        <f>[1]!'AI[26].ZL'</f>
        <v>0</v>
      </c>
      <c r="AK30" s="207">
        <f>[1]!'AI[26].ZH'</f>
        <v>300</v>
      </c>
      <c r="AL30" s="208"/>
      <c r="AM30" s="207">
        <f>[1]!'AI[26].RL.EN'</f>
        <v>1</v>
      </c>
      <c r="AN30" s="207">
        <f>[1]!'AI[26].RL.V'</f>
        <v>160</v>
      </c>
      <c r="AO30" s="207">
        <f>[1]!'AI[26].RL.fix'</f>
        <v>0</v>
      </c>
      <c r="AP30" s="208"/>
      <c r="AQ30" s="207">
        <f>[1]!'AI[26].RH.EN'</f>
        <v>1</v>
      </c>
      <c r="AR30" s="207">
        <f>[1]!'AI[26].RH.V'</f>
        <v>170</v>
      </c>
      <c r="AS30" s="207">
        <f>[1]!'AI[26].RH.fix'</f>
        <v>0</v>
      </c>
      <c r="AT30" s="208"/>
      <c r="AU30" s="207">
        <f>[1]!'AI[26].L.EN'</f>
        <v>0</v>
      </c>
      <c r="AV30" s="207">
        <f>[1]!'AI[26].L.V'</f>
        <v>0</v>
      </c>
      <c r="AW30" s="207">
        <f>[1]!'AI[26].L.fix'</f>
        <v>0</v>
      </c>
      <c r="AX30" s="208"/>
      <c r="AY30" s="207">
        <f>[1]!'AI[26].H.EN'</f>
        <v>0</v>
      </c>
      <c r="AZ30" s="207">
        <f>[1]!'AI[26].H.V'</f>
        <v>0</v>
      </c>
      <c r="BA30" s="207">
        <f>[1]!'AI[26].H.fix'</f>
        <v>0</v>
      </c>
      <c r="BB30" s="208"/>
      <c r="BC30" s="207">
        <f>[1]!'AI[26].LL.EN'</f>
        <v>0</v>
      </c>
      <c r="BD30" s="207">
        <f>[1]!'AI[26].LL.V'</f>
        <v>0</v>
      </c>
      <c r="BE30" s="207">
        <f>[1]!'AI[26].LL.fix'</f>
        <v>0</v>
      </c>
      <c r="BF30" s="208"/>
      <c r="BG30" s="207">
        <f>[1]!'AI[26].HH.EN'</f>
        <v>0</v>
      </c>
      <c r="BH30" s="207">
        <f>[1]!'AI[26].HH.V'</f>
        <v>0</v>
      </c>
      <c r="BI30" s="207">
        <f>[1]!'AI[26].HH.fix'</f>
        <v>0</v>
      </c>
      <c r="BJ30" s="210"/>
      <c r="BK30" s="207">
        <f>[1]!'AI[26].group'</f>
        <v>1</v>
      </c>
      <c r="BL30" s="207">
        <f>[1]!'AI[26].state'</f>
        <v>4</v>
      </c>
      <c r="BM30" s="207">
        <f>[1]!'AI[26].isInvScale'</f>
        <v>0</v>
      </c>
    </row>
    <row r="31" spans="1:65">
      <c r="A31" s="445"/>
      <c r="B31" s="446"/>
      <c r="C31" s="221">
        <v>11</v>
      </c>
      <c r="D31" s="221">
        <v>11</v>
      </c>
      <c r="E31" s="222" t="s">
        <v>388</v>
      </c>
      <c r="F31" s="222" t="s">
        <v>389</v>
      </c>
      <c r="G31" s="207">
        <f>[1]!'AI[27].ZL'</f>
        <v>0</v>
      </c>
      <c r="H31" s="207">
        <f>[1]!'AI[27].ZH'</f>
        <v>300</v>
      </c>
      <c r="I31" s="221" t="s">
        <v>366</v>
      </c>
      <c r="J31" s="207">
        <f>[1]!'AI[27].RL.V'</f>
        <v>160</v>
      </c>
      <c r="K31" s="207">
        <f>[1]!'AI[27].RH.V'</f>
        <v>170</v>
      </c>
      <c r="L31" s="207">
        <f>[1]!'AI[27].L.V'</f>
        <v>0</v>
      </c>
      <c r="M31" s="207">
        <f>[1]!'AI[27].H.V'</f>
        <v>0</v>
      </c>
      <c r="N31" s="207">
        <f>[1]!'AI[27].LL.V'</f>
        <v>0</v>
      </c>
      <c r="O31" s="207">
        <f>[1]!'AI[27].HH.V'</f>
        <v>0</v>
      </c>
      <c r="P31" s="223">
        <v>4</v>
      </c>
      <c r="Q31" s="224">
        <v>3</v>
      </c>
      <c r="R31" s="184"/>
      <c r="S31" s="229"/>
      <c r="T31" s="207">
        <f>[1]!'AI[27].group'</f>
        <v>1</v>
      </c>
      <c r="U31" s="229"/>
      <c r="V31" s="229"/>
      <c r="X31" s="207">
        <f>[1]!'AI[27].EN'</f>
        <v>1</v>
      </c>
      <c r="Y31" s="207">
        <f>[1]!'AI[27].i'</f>
        <v>2.8266910000000001E-3</v>
      </c>
      <c r="Z31" s="207">
        <f>[1]!'AI[27].isForce'</f>
        <v>0</v>
      </c>
      <c r="AA31" s="207" t="e">
        <f>[1]!'AI[27].vRaw'</f>
        <v>#REF!</v>
      </c>
      <c r="AB31" s="207">
        <f>[1]!'AI[27].isCorrect'</f>
        <v>0</v>
      </c>
      <c r="AC31" s="207" t="e">
        <f>[1]!'AI[27].vCorrect'</f>
        <v>#REF!</v>
      </c>
      <c r="AD31" s="207">
        <f>[1]!'AI[27].v'</f>
        <v>0</v>
      </c>
      <c r="AE31" s="207" t="e">
        <f>[1]!'AI[27].isCut'</f>
        <v>#REF!</v>
      </c>
      <c r="AF31" s="207" t="e">
        <f>[1]!'AI[27].vCut'</f>
        <v>#REF!</v>
      </c>
      <c r="AG31" s="208"/>
      <c r="AH31" s="207">
        <f>[1]!'AI[27].break.sgn'</f>
        <v>1</v>
      </c>
      <c r="AI31" s="208"/>
      <c r="AJ31" s="207">
        <f>[1]!'AI[27].ZL'</f>
        <v>0</v>
      </c>
      <c r="AK31" s="207">
        <f>[1]!'AI[27].ZH'</f>
        <v>300</v>
      </c>
      <c r="AL31" s="208"/>
      <c r="AM31" s="207">
        <f>[1]!'AI[27].RL.EN'</f>
        <v>1</v>
      </c>
      <c r="AN31" s="207">
        <f>[1]!'AI[27].RL.V'</f>
        <v>160</v>
      </c>
      <c r="AO31" s="207">
        <f>[1]!'AI[27].RL.fix'</f>
        <v>0</v>
      </c>
      <c r="AP31" s="208"/>
      <c r="AQ31" s="207">
        <f>[1]!'AI[27].RH.EN'</f>
        <v>1</v>
      </c>
      <c r="AR31" s="207">
        <f>[1]!'AI[27].RH.V'</f>
        <v>170</v>
      </c>
      <c r="AS31" s="207">
        <f>[1]!'AI[27].RH.fix'</f>
        <v>0</v>
      </c>
      <c r="AT31" s="208"/>
      <c r="AU31" s="207">
        <f>[1]!'AI[27].L.EN'</f>
        <v>0</v>
      </c>
      <c r="AV31" s="207">
        <f>[1]!'AI[27].L.V'</f>
        <v>0</v>
      </c>
      <c r="AW31" s="207">
        <f>[1]!'AI[27].L.fix'</f>
        <v>0</v>
      </c>
      <c r="AX31" s="208"/>
      <c r="AY31" s="207">
        <f>[1]!'AI[27].H.EN'</f>
        <v>0</v>
      </c>
      <c r="AZ31" s="207">
        <f>[1]!'AI[27].H.V'</f>
        <v>0</v>
      </c>
      <c r="BA31" s="207">
        <f>[1]!'AI[27].H.fix'</f>
        <v>0</v>
      </c>
      <c r="BB31" s="208"/>
      <c r="BC31" s="207">
        <f>[1]!'AI[27].LL.EN'</f>
        <v>0</v>
      </c>
      <c r="BD31" s="207">
        <f>[1]!'AI[27].LL.V'</f>
        <v>0</v>
      </c>
      <c r="BE31" s="207">
        <f>[1]!'AI[27].LL.fix'</f>
        <v>0</v>
      </c>
      <c r="BF31" s="208"/>
      <c r="BG31" s="207">
        <f>[1]!'AI[27].HH.EN'</f>
        <v>0</v>
      </c>
      <c r="BH31" s="207">
        <f>[1]!'AI[27].HH.V'</f>
        <v>0</v>
      </c>
      <c r="BI31" s="207">
        <f>[1]!'AI[27].HH.fix'</f>
        <v>0</v>
      </c>
      <c r="BJ31" s="210"/>
      <c r="BK31" s="207">
        <f>[1]!'AI[27].group'</f>
        <v>1</v>
      </c>
      <c r="BL31" s="207">
        <f>[1]!'AI[27].state'</f>
        <v>4</v>
      </c>
      <c r="BM31" s="207">
        <f>[1]!'AI[27].isInvScale'</f>
        <v>0</v>
      </c>
    </row>
    <row r="32" spans="1:65">
      <c r="A32" s="445"/>
      <c r="B32" s="446"/>
      <c r="C32" s="221">
        <v>12</v>
      </c>
      <c r="D32" s="221">
        <v>12</v>
      </c>
      <c r="E32" s="222" t="s">
        <v>390</v>
      </c>
      <c r="F32" s="222" t="s">
        <v>391</v>
      </c>
      <c r="G32" s="207">
        <f>[1]!'AI[28].ZL'</f>
        <v>0</v>
      </c>
      <c r="H32" s="207">
        <f>[1]!'AI[28].ZH'</f>
        <v>300</v>
      </c>
      <c r="I32" s="221" t="s">
        <v>366</v>
      </c>
      <c r="J32" s="207">
        <f>[1]!'AI[28].RL.V'</f>
        <v>0</v>
      </c>
      <c r="K32" s="207">
        <f>[1]!'AI[28].RH.V'</f>
        <v>240</v>
      </c>
      <c r="L32" s="207">
        <f>[1]!'AI[28].L.V'</f>
        <v>0</v>
      </c>
      <c r="M32" s="207">
        <f>[1]!'AI[28].H.V'</f>
        <v>0</v>
      </c>
      <c r="N32" s="207">
        <f>[1]!'AI[28].LL.V'</f>
        <v>0</v>
      </c>
      <c r="O32" s="207">
        <f>[1]!'AI[28].HH.V'</f>
        <v>0</v>
      </c>
      <c r="P32" s="223">
        <v>4</v>
      </c>
      <c r="Q32" s="224">
        <v>3</v>
      </c>
      <c r="R32" s="184"/>
      <c r="S32" s="229"/>
      <c r="T32" s="207">
        <f>[1]!'AI[28].group'</f>
        <v>1</v>
      </c>
      <c r="U32" s="229"/>
      <c r="V32" s="229"/>
      <c r="X32" s="207">
        <f>[1]!'AI[28].EN'</f>
        <v>1</v>
      </c>
      <c r="Y32" s="207">
        <f>[1]!'AI[28].i'</f>
        <v>2.5129319999999998E-3</v>
      </c>
      <c r="Z32" s="207">
        <f>[1]!'AI[28].isForce'</f>
        <v>0</v>
      </c>
      <c r="AA32" s="207" t="e">
        <f>[1]!'AI[28].vRaw'</f>
        <v>#REF!</v>
      </c>
      <c r="AB32" s="207">
        <f>[1]!'AI[28].isCorrect'</f>
        <v>0</v>
      </c>
      <c r="AC32" s="207" t="e">
        <f>[1]!'AI[28].vCorrect'</f>
        <v>#REF!</v>
      </c>
      <c r="AD32" s="207">
        <f>[1]!'AI[28].v'</f>
        <v>0</v>
      </c>
      <c r="AE32" s="207" t="e">
        <f>[1]!'AI[28].isCut'</f>
        <v>#REF!</v>
      </c>
      <c r="AF32" s="207" t="e">
        <f>[1]!'AI[28].vCut'</f>
        <v>#REF!</v>
      </c>
      <c r="AG32" s="208"/>
      <c r="AH32" s="207">
        <f>[1]!'AI[28].break.sgn'</f>
        <v>1</v>
      </c>
      <c r="AI32" s="208"/>
      <c r="AJ32" s="207">
        <f>[1]!'AI[28].ZL'</f>
        <v>0</v>
      </c>
      <c r="AK32" s="207">
        <f>[1]!'AI[28].ZH'</f>
        <v>300</v>
      </c>
      <c r="AL32" s="208"/>
      <c r="AM32" s="207">
        <f>[1]!'AI[28].RL.EN'</f>
        <v>1</v>
      </c>
      <c r="AN32" s="207">
        <f>[1]!'AI[28].RL.V'</f>
        <v>0</v>
      </c>
      <c r="AO32" s="207">
        <f>[1]!'AI[28].RL.fix'</f>
        <v>0</v>
      </c>
      <c r="AP32" s="208"/>
      <c r="AQ32" s="207">
        <f>[1]!'AI[28].RH.EN'</f>
        <v>1</v>
      </c>
      <c r="AR32" s="207">
        <f>[1]!'AI[28].RH.V'</f>
        <v>240</v>
      </c>
      <c r="AS32" s="207">
        <f>[1]!'AI[28].RH.fix'</f>
        <v>0</v>
      </c>
      <c r="AT32" s="208"/>
      <c r="AU32" s="207">
        <f>[1]!'AI[28].L.EN'</f>
        <v>0</v>
      </c>
      <c r="AV32" s="207">
        <f>[1]!'AI[28].L.V'</f>
        <v>0</v>
      </c>
      <c r="AW32" s="207">
        <f>[1]!'AI[28].L.fix'</f>
        <v>0</v>
      </c>
      <c r="AX32" s="208"/>
      <c r="AY32" s="207">
        <f>[1]!'AI[28].H.EN'</f>
        <v>0</v>
      </c>
      <c r="AZ32" s="207">
        <f>[1]!'AI[28].H.V'</f>
        <v>0</v>
      </c>
      <c r="BA32" s="207">
        <f>[1]!'AI[28].H.fix'</f>
        <v>0</v>
      </c>
      <c r="BB32" s="208"/>
      <c r="BC32" s="207">
        <f>[1]!'AI[28].LL.EN'</f>
        <v>0</v>
      </c>
      <c r="BD32" s="207">
        <f>[1]!'AI[28].LL.V'</f>
        <v>0</v>
      </c>
      <c r="BE32" s="207">
        <f>[1]!'AI[28].LL.fix'</f>
        <v>0</v>
      </c>
      <c r="BF32" s="208"/>
      <c r="BG32" s="207">
        <f>[1]!'AI[28].HH.EN'</f>
        <v>0</v>
      </c>
      <c r="BH32" s="207">
        <f>[1]!'AI[28].HH.V'</f>
        <v>0</v>
      </c>
      <c r="BI32" s="207">
        <f>[1]!'AI[28].HH.fix'</f>
        <v>0</v>
      </c>
      <c r="BJ32" s="210"/>
      <c r="BK32" s="207">
        <f>[1]!'AI[28].group'</f>
        <v>1</v>
      </c>
      <c r="BL32" s="207">
        <f>[1]!'AI[28].state'</f>
        <v>4</v>
      </c>
      <c r="BM32" s="207">
        <f>[1]!'AI[28].isInvScale'</f>
        <v>0</v>
      </c>
    </row>
    <row r="33" spans="1:65">
      <c r="A33" s="445"/>
      <c r="B33" s="446"/>
      <c r="C33" s="221">
        <v>13</v>
      </c>
      <c r="D33" s="221">
        <v>13</v>
      </c>
      <c r="E33" s="222" t="s">
        <v>392</v>
      </c>
      <c r="F33" s="222" t="s">
        <v>393</v>
      </c>
      <c r="G33" s="207">
        <f>[1]!'AI[29].ZL'</f>
        <v>0</v>
      </c>
      <c r="H33" s="207">
        <f>[1]!'AI[29].ZH'</f>
        <v>0</v>
      </c>
      <c r="I33" s="221" t="s">
        <v>366</v>
      </c>
      <c r="J33" s="207">
        <f>[1]!'AI[29].RL.V'</f>
        <v>250</v>
      </c>
      <c r="K33" s="207">
        <f>[1]!'AI[29].RH.V'</f>
        <v>450</v>
      </c>
      <c r="L33" s="207">
        <f>[1]!'AI[29].L.V'</f>
        <v>0</v>
      </c>
      <c r="M33" s="207">
        <f>[1]!'AI[29].H.V'</f>
        <v>0</v>
      </c>
      <c r="N33" s="207">
        <f>[1]!'AI[29].LL.V'</f>
        <v>0</v>
      </c>
      <c r="O33" s="207">
        <f>[1]!'AI[29].HH.V'</f>
        <v>0</v>
      </c>
      <c r="P33" s="223">
        <v>4</v>
      </c>
      <c r="Q33" s="224">
        <v>3</v>
      </c>
      <c r="R33" s="184"/>
      <c r="S33" s="229"/>
      <c r="T33" s="207">
        <f>[1]!'AI[29].group'</f>
        <v>3</v>
      </c>
      <c r="U33" s="229"/>
      <c r="V33" s="229"/>
      <c r="X33" s="207">
        <f>[1]!'AI[29].EN'</f>
        <v>0</v>
      </c>
      <c r="Y33" s="207">
        <f>[1]!'AI[29].i'</f>
        <v>0</v>
      </c>
      <c r="Z33" s="207">
        <f>[1]!'AI[29].isForce'</f>
        <v>0</v>
      </c>
      <c r="AA33" s="207" t="e">
        <f>[1]!'AI[29].vRaw'</f>
        <v>#REF!</v>
      </c>
      <c r="AB33" s="207">
        <f>[1]!'AI[29].isCorrect'</f>
        <v>0</v>
      </c>
      <c r="AC33" s="207" t="e">
        <f>[1]!'AI[29].vCorrect'</f>
        <v>#REF!</v>
      </c>
      <c r="AD33" s="207">
        <f>[1]!'AI[29].v'</f>
        <v>0</v>
      </c>
      <c r="AE33" s="207" t="e">
        <f>[1]!'AI[29].isCut'</f>
        <v>#REF!</v>
      </c>
      <c r="AF33" s="207" t="e">
        <f>[1]!'AI[29].vCut'</f>
        <v>#REF!</v>
      </c>
      <c r="AG33" s="208"/>
      <c r="AH33" s="207">
        <f>[1]!'AI[29].break.sgn'</f>
        <v>0</v>
      </c>
      <c r="AI33" s="208"/>
      <c r="AJ33" s="207">
        <f>[1]!'AI[29].ZL'</f>
        <v>0</v>
      </c>
      <c r="AK33" s="207">
        <f>[1]!'AI[29].ZH'</f>
        <v>0</v>
      </c>
      <c r="AL33" s="208"/>
      <c r="AM33" s="207">
        <f>[1]!'AI[29].RL.EN'</f>
        <v>0</v>
      </c>
      <c r="AN33" s="207">
        <f>[1]!'AI[29].RL.V'</f>
        <v>250</v>
      </c>
      <c r="AO33" s="207">
        <f>[1]!'AI[29].RL.fix'</f>
        <v>1</v>
      </c>
      <c r="AP33" s="208"/>
      <c r="AQ33" s="207">
        <f>[1]!'AI[29].RH.EN'</f>
        <v>0</v>
      </c>
      <c r="AR33" s="207">
        <f>[1]!'AI[29].RH.V'</f>
        <v>450</v>
      </c>
      <c r="AS33" s="207">
        <f>[1]!'AI[29].RH.fix'</f>
        <v>0</v>
      </c>
      <c r="AT33" s="208"/>
      <c r="AU33" s="207">
        <f>[1]!'AI[29].L.EN'</f>
        <v>0</v>
      </c>
      <c r="AV33" s="207">
        <f>[1]!'AI[29].L.V'</f>
        <v>0</v>
      </c>
      <c r="AW33" s="207">
        <f>[1]!'AI[29].L.fix'</f>
        <v>0</v>
      </c>
      <c r="AX33" s="208"/>
      <c r="AY33" s="207">
        <f>[1]!'AI[29].H.EN'</f>
        <v>0</v>
      </c>
      <c r="AZ33" s="207">
        <f>[1]!'AI[29].H.V'</f>
        <v>0</v>
      </c>
      <c r="BA33" s="207">
        <f>[1]!'AI[29].H.fix'</f>
        <v>0</v>
      </c>
      <c r="BB33" s="208"/>
      <c r="BC33" s="207">
        <f>[1]!'AI[29].LL.EN'</f>
        <v>0</v>
      </c>
      <c r="BD33" s="207">
        <f>[1]!'AI[29].LL.V'</f>
        <v>0</v>
      </c>
      <c r="BE33" s="207">
        <f>[1]!'AI[29].LL.fix'</f>
        <v>0</v>
      </c>
      <c r="BF33" s="208"/>
      <c r="BG33" s="207">
        <f>[1]!'AI[29].HH.EN'</f>
        <v>0</v>
      </c>
      <c r="BH33" s="207">
        <f>[1]!'AI[29].HH.V'</f>
        <v>0</v>
      </c>
      <c r="BI33" s="207">
        <f>[1]!'AI[29].HH.fix'</f>
        <v>0</v>
      </c>
      <c r="BJ33" s="210"/>
      <c r="BK33" s="207">
        <f>[1]!'AI[29].group'</f>
        <v>3</v>
      </c>
      <c r="BL33" s="207">
        <f>[1]!'AI[29].state'</f>
        <v>4</v>
      </c>
      <c r="BM33" s="207">
        <f>[1]!'AI[29].isInvScale'</f>
        <v>0</v>
      </c>
    </row>
    <row r="34" spans="1:65">
      <c r="A34" s="445"/>
      <c r="B34" s="446"/>
      <c r="C34" s="221">
        <v>14</v>
      </c>
      <c r="D34" s="221">
        <v>14</v>
      </c>
      <c r="E34" s="222" t="s">
        <v>394</v>
      </c>
      <c r="F34" s="222" t="s">
        <v>395</v>
      </c>
      <c r="G34" s="207">
        <f>[1]!'AI[30].ZL'</f>
        <v>0</v>
      </c>
      <c r="H34" s="207">
        <f>[1]!'AI[30].ZH'</f>
        <v>0</v>
      </c>
      <c r="I34" s="221" t="s">
        <v>366</v>
      </c>
      <c r="J34" s="207">
        <f>[1]!'AI[30].RL.V'</f>
        <v>0</v>
      </c>
      <c r="K34" s="207">
        <f>[1]!'AI[30].RH.V'</f>
        <v>0</v>
      </c>
      <c r="L34" s="207">
        <f>[1]!'AI[30].L.V'</f>
        <v>0</v>
      </c>
      <c r="M34" s="207">
        <f>[1]!'AI[30].H.V'</f>
        <v>0</v>
      </c>
      <c r="N34" s="207">
        <f>[1]!'AI[30].LL.V'</f>
        <v>0</v>
      </c>
      <c r="O34" s="207">
        <f>[1]!'AI[30].HH.V'</f>
        <v>0</v>
      </c>
      <c r="P34" s="223">
        <v>4</v>
      </c>
      <c r="Q34" s="224">
        <v>3</v>
      </c>
      <c r="R34" s="184"/>
      <c r="S34" s="229"/>
      <c r="T34" s="207">
        <f>[1]!'AI[30].group'</f>
        <v>3</v>
      </c>
      <c r="U34" s="229"/>
      <c r="V34" s="229"/>
      <c r="X34" s="207">
        <f>[1]!'AI[30].EN'</f>
        <v>0</v>
      </c>
      <c r="Y34" s="207">
        <f>[1]!'AI[30].i'</f>
        <v>0</v>
      </c>
      <c r="Z34" s="207">
        <f>[1]!'AI[30].isForce'</f>
        <v>0</v>
      </c>
      <c r="AA34" s="207" t="e">
        <f>[1]!'AI[30].vRaw'</f>
        <v>#REF!</v>
      </c>
      <c r="AB34" s="207">
        <f>[1]!'AI[30].isCorrect'</f>
        <v>0</v>
      </c>
      <c r="AC34" s="207" t="e">
        <f>[1]!'AI[30].vCorrect'</f>
        <v>#REF!</v>
      </c>
      <c r="AD34" s="207">
        <f>[1]!'AI[30].v'</f>
        <v>0</v>
      </c>
      <c r="AE34" s="207" t="e">
        <f>[1]!'AI[30].isCut'</f>
        <v>#REF!</v>
      </c>
      <c r="AF34" s="207" t="e">
        <f>[1]!'AI[30].vCut'</f>
        <v>#REF!</v>
      </c>
      <c r="AG34" s="208"/>
      <c r="AH34" s="207">
        <f>[1]!'AI[30].break.sgn'</f>
        <v>0</v>
      </c>
      <c r="AI34" s="208"/>
      <c r="AJ34" s="207">
        <f>[1]!'AI[30].ZL'</f>
        <v>0</v>
      </c>
      <c r="AK34" s="207">
        <f>[1]!'AI[30].ZH'</f>
        <v>0</v>
      </c>
      <c r="AL34" s="208"/>
      <c r="AM34" s="207">
        <f>[1]!'AI[30].RL.EN'</f>
        <v>0</v>
      </c>
      <c r="AN34" s="207">
        <f>[1]!'AI[30].RL.V'</f>
        <v>0</v>
      </c>
      <c r="AO34" s="207">
        <f>[1]!'AI[30].RL.fix'</f>
        <v>1</v>
      </c>
      <c r="AP34" s="208"/>
      <c r="AQ34" s="207">
        <f>[1]!'AI[30].RH.EN'</f>
        <v>0</v>
      </c>
      <c r="AR34" s="207">
        <f>[1]!'AI[30].RH.V'</f>
        <v>0</v>
      </c>
      <c r="AS34" s="207">
        <f>[1]!'AI[30].RH.fix'</f>
        <v>0</v>
      </c>
      <c r="AT34" s="208"/>
      <c r="AU34" s="207">
        <f>[1]!'AI[30].L.EN'</f>
        <v>0</v>
      </c>
      <c r="AV34" s="207">
        <f>[1]!'AI[30].L.V'</f>
        <v>0</v>
      </c>
      <c r="AW34" s="207">
        <f>[1]!'AI[30].L.fix'</f>
        <v>0</v>
      </c>
      <c r="AX34" s="208"/>
      <c r="AY34" s="207">
        <f>[1]!'AI[30].H.EN'</f>
        <v>0</v>
      </c>
      <c r="AZ34" s="207">
        <f>[1]!'AI[30].H.V'</f>
        <v>0</v>
      </c>
      <c r="BA34" s="207">
        <f>[1]!'AI[30].H.fix'</f>
        <v>0</v>
      </c>
      <c r="BB34" s="208"/>
      <c r="BC34" s="207">
        <f>[1]!'AI[30].LL.EN'</f>
        <v>0</v>
      </c>
      <c r="BD34" s="207">
        <f>[1]!'AI[30].LL.V'</f>
        <v>0</v>
      </c>
      <c r="BE34" s="207">
        <f>[1]!'AI[30].LL.fix'</f>
        <v>0</v>
      </c>
      <c r="BF34" s="208"/>
      <c r="BG34" s="207">
        <f>[1]!'AI[30].HH.EN'</f>
        <v>0</v>
      </c>
      <c r="BH34" s="207">
        <f>[1]!'AI[30].HH.V'</f>
        <v>0</v>
      </c>
      <c r="BI34" s="207">
        <f>[1]!'AI[30].HH.fix'</f>
        <v>0</v>
      </c>
      <c r="BJ34" s="210"/>
      <c r="BK34" s="207">
        <f>[1]!'AI[30].group'</f>
        <v>3</v>
      </c>
      <c r="BL34" s="207">
        <f>[1]!'AI[30].state'</f>
        <v>4</v>
      </c>
      <c r="BM34" s="207">
        <f>[1]!'AI[30].isInvScale'</f>
        <v>0</v>
      </c>
    </row>
    <row r="35" spans="1:65" ht="15.75" thickBot="1">
      <c r="A35" s="445"/>
      <c r="B35" s="446"/>
      <c r="C35" s="225">
        <v>15</v>
      </c>
      <c r="D35" s="225">
        <v>15</v>
      </c>
      <c r="E35" s="226" t="s">
        <v>396</v>
      </c>
      <c r="F35" s="226" t="s">
        <v>397</v>
      </c>
      <c r="G35" s="207">
        <f>[1]!'AI[31].ZL'</f>
        <v>0</v>
      </c>
      <c r="H35" s="207">
        <f>[1]!'AI[31].ZH'</f>
        <v>0</v>
      </c>
      <c r="I35" s="225" t="s">
        <v>366</v>
      </c>
      <c r="J35" s="207">
        <f>[1]!'AI[31].RL.V'</f>
        <v>0</v>
      </c>
      <c r="K35" s="207">
        <f>[1]!'AI[31].RH.V'</f>
        <v>0</v>
      </c>
      <c r="L35" s="207">
        <f>[1]!'AI[31].L.V'</f>
        <v>0</v>
      </c>
      <c r="M35" s="207">
        <f>[1]!'AI[31].H.V'</f>
        <v>0</v>
      </c>
      <c r="N35" s="207">
        <f>[1]!'AI[31].LL.V'</f>
        <v>0</v>
      </c>
      <c r="O35" s="207">
        <f>[1]!'AI[31].HH.V'</f>
        <v>0</v>
      </c>
      <c r="P35" s="227">
        <v>4</v>
      </c>
      <c r="Q35" s="228">
        <v>3</v>
      </c>
      <c r="R35" s="190"/>
      <c r="S35" s="229"/>
      <c r="T35" s="207">
        <f>[1]!'AI[31].group'</f>
        <v>3</v>
      </c>
      <c r="U35" s="229"/>
      <c r="V35" s="229"/>
      <c r="X35" s="207">
        <f>[1]!'AI[31].EN'</f>
        <v>0</v>
      </c>
      <c r="Y35" s="207">
        <f>[1]!'AI[31].i'</f>
        <v>0</v>
      </c>
      <c r="Z35" s="207">
        <f>[1]!'AI[31].isForce'</f>
        <v>0</v>
      </c>
      <c r="AA35" s="207" t="e">
        <f>[1]!'AI[31].vRaw'</f>
        <v>#REF!</v>
      </c>
      <c r="AB35" s="207">
        <f>[1]!'AI[31].isCorrect'</f>
        <v>0</v>
      </c>
      <c r="AC35" s="207" t="e">
        <f>[1]!'AI[31].vCorrect'</f>
        <v>#REF!</v>
      </c>
      <c r="AD35" s="207">
        <f>[1]!'AI[31].v'</f>
        <v>0</v>
      </c>
      <c r="AE35" s="207" t="e">
        <f>[1]!'AI[31].isCut'</f>
        <v>#REF!</v>
      </c>
      <c r="AF35" s="207" t="e">
        <f>[1]!'AI[31].vCut'</f>
        <v>#REF!</v>
      </c>
      <c r="AG35" s="208"/>
      <c r="AH35" s="207">
        <f>[1]!'AI[31].break.sgn'</f>
        <v>0</v>
      </c>
      <c r="AI35" s="208"/>
      <c r="AJ35" s="207">
        <f>[1]!'AI[31].ZL'</f>
        <v>0</v>
      </c>
      <c r="AK35" s="207">
        <f>[1]!'AI[31].ZH'</f>
        <v>0</v>
      </c>
      <c r="AL35" s="208"/>
      <c r="AM35" s="207">
        <f>[1]!'AI[31].RL.EN'</f>
        <v>0</v>
      </c>
      <c r="AN35" s="207">
        <f>[1]!'AI[31].RL.V'</f>
        <v>0</v>
      </c>
      <c r="AO35" s="207">
        <f>[1]!'AI[31].RL.fix'</f>
        <v>1</v>
      </c>
      <c r="AP35" s="208"/>
      <c r="AQ35" s="207">
        <f>[1]!'AI[31].RH.EN'</f>
        <v>0</v>
      </c>
      <c r="AR35" s="207">
        <f>[1]!'AI[31].RH.V'</f>
        <v>0</v>
      </c>
      <c r="AS35" s="207">
        <f>[1]!'AI[31].RH.fix'</f>
        <v>0</v>
      </c>
      <c r="AT35" s="208"/>
      <c r="AU35" s="207">
        <f>[1]!'AI[31].L.EN'</f>
        <v>0</v>
      </c>
      <c r="AV35" s="207">
        <f>[1]!'AI[31].L.V'</f>
        <v>0</v>
      </c>
      <c r="AW35" s="207">
        <f>[1]!'AI[31].L.fix'</f>
        <v>0</v>
      </c>
      <c r="AX35" s="208"/>
      <c r="AY35" s="207">
        <f>[1]!'AI[31].H.EN'</f>
        <v>0</v>
      </c>
      <c r="AZ35" s="207">
        <f>[1]!'AI[31].H.V'</f>
        <v>0</v>
      </c>
      <c r="BA35" s="207">
        <f>[1]!'AI[31].H.fix'</f>
        <v>0</v>
      </c>
      <c r="BB35" s="208"/>
      <c r="BC35" s="207">
        <f>[1]!'AI[31].LL.EN'</f>
        <v>0</v>
      </c>
      <c r="BD35" s="207">
        <f>[1]!'AI[31].LL.V'</f>
        <v>0</v>
      </c>
      <c r="BE35" s="207">
        <f>[1]!'AI[31].LL.fix'</f>
        <v>0</v>
      </c>
      <c r="BF35" s="208"/>
      <c r="BG35" s="207">
        <f>[1]!'AI[31].HH.EN'</f>
        <v>0</v>
      </c>
      <c r="BH35" s="207">
        <f>[1]!'AI[31].HH.V'</f>
        <v>0</v>
      </c>
      <c r="BI35" s="207">
        <f>[1]!'AI[31].HH.fix'</f>
        <v>0</v>
      </c>
      <c r="BJ35" s="210"/>
      <c r="BK35" s="207">
        <f>[1]!'AI[31].group'</f>
        <v>3</v>
      </c>
      <c r="BL35" s="207">
        <f>[1]!'AI[31].state'</f>
        <v>4</v>
      </c>
      <c r="BM35" s="207">
        <f>[1]!'AI[31].isInvScale'</f>
        <v>0</v>
      </c>
    </row>
    <row r="36" spans="1:65" ht="15" customHeight="1">
      <c r="A36" s="445" t="s">
        <v>36</v>
      </c>
      <c r="B36" s="446">
        <v>3</v>
      </c>
      <c r="C36" s="216">
        <v>0</v>
      </c>
      <c r="D36" s="216">
        <v>0</v>
      </c>
      <c r="E36" s="217" t="s">
        <v>364</v>
      </c>
      <c r="F36" s="217" t="s">
        <v>365</v>
      </c>
      <c r="G36" s="207">
        <f>[1]!'AI[32].ZL'</f>
        <v>0</v>
      </c>
      <c r="H36" s="207">
        <f>[1]!'AI[32].ZH'</f>
        <v>300</v>
      </c>
      <c r="I36" s="216" t="s">
        <v>366</v>
      </c>
      <c r="J36" s="207">
        <f>[1]!'AI[32].RL.V'</f>
        <v>130</v>
      </c>
      <c r="K36" s="207">
        <f>[1]!'AI[32].RH.V'</f>
        <v>280</v>
      </c>
      <c r="L36" s="207">
        <f>[1]!'AI[32].L.V'</f>
        <v>0</v>
      </c>
      <c r="M36" s="207">
        <f>[1]!'AI[32].H.V'</f>
        <v>0</v>
      </c>
      <c r="N36" s="207">
        <f>[1]!'AI[32].LL.V'</f>
        <v>0</v>
      </c>
      <c r="O36" s="207">
        <f>[1]!'AI[32].HH.V'</f>
        <v>0</v>
      </c>
      <c r="P36" s="218">
        <v>1</v>
      </c>
      <c r="Q36" s="219">
        <v>0</v>
      </c>
      <c r="R36" s="220"/>
      <c r="S36" s="230"/>
      <c r="T36" s="207">
        <f>[1]!'AI[32].group'</f>
        <v>1</v>
      </c>
      <c r="U36" s="230"/>
      <c r="V36" s="230"/>
      <c r="X36" s="203">
        <f>[1]!'AI[32].EN'</f>
        <v>1</v>
      </c>
      <c r="Y36" s="207">
        <f>[1]!'AI[32].i'</f>
        <v>3.7689210000000002E-3</v>
      </c>
      <c r="Z36" s="207">
        <f>[1]!'AI[32].isForce'</f>
        <v>0</v>
      </c>
      <c r="AA36" s="207" t="e">
        <f>[1]!'AI[32].vRaw'</f>
        <v>#REF!</v>
      </c>
      <c r="AB36" s="203">
        <f>[1]!'AI[32].isCorrect'</f>
        <v>0</v>
      </c>
      <c r="AC36" s="207" t="e">
        <f>[1]!'AI[32].vCorrect'</f>
        <v>#REF!</v>
      </c>
      <c r="AD36" s="207">
        <f>[1]!'AI[32].v'</f>
        <v>0</v>
      </c>
      <c r="AE36" s="203" t="e">
        <f>[1]!'AI[32].isCut'</f>
        <v>#REF!</v>
      </c>
      <c r="AF36" s="207" t="e">
        <f>[1]!'AI[32].vCut'</f>
        <v>#REF!</v>
      </c>
      <c r="AG36" s="208"/>
      <c r="AH36" s="207">
        <f>[1]!'AI[32].break.sgn'</f>
        <v>1</v>
      </c>
      <c r="AI36" s="208"/>
      <c r="AJ36" s="207">
        <f>[1]!'AI[32].ZL'</f>
        <v>0</v>
      </c>
      <c r="AK36" s="207">
        <f>[1]!'AI[32].ZH'</f>
        <v>300</v>
      </c>
      <c r="AL36" s="208"/>
      <c r="AM36" s="203">
        <f>[1]!'AI[32].RL.EN'</f>
        <v>1</v>
      </c>
      <c r="AN36" s="207">
        <f>[1]!'AI[32].RL.V'</f>
        <v>130</v>
      </c>
      <c r="AO36" s="207">
        <f>[1]!'AI[32].RL.fix'</f>
        <v>0</v>
      </c>
      <c r="AP36" s="208"/>
      <c r="AQ36" s="203">
        <f>[1]!'AI[32].RH.EN'</f>
        <v>1</v>
      </c>
      <c r="AR36" s="207">
        <f>[1]!'AI[32].RH.V'</f>
        <v>280</v>
      </c>
      <c r="AS36" s="207">
        <f>[1]!'AI[32].RH.fix'</f>
        <v>0</v>
      </c>
      <c r="AT36" s="208"/>
      <c r="AU36" s="203">
        <f>[1]!'AI[32].L.EN'</f>
        <v>0</v>
      </c>
      <c r="AV36" s="207">
        <f>[1]!'AI[32].L.V'</f>
        <v>0</v>
      </c>
      <c r="AW36" s="207">
        <f>[1]!'AI[32].L.fix'</f>
        <v>0</v>
      </c>
      <c r="AX36" s="208"/>
      <c r="AY36" s="203">
        <f>[1]!'AI[32].H.EN'</f>
        <v>0</v>
      </c>
      <c r="AZ36" s="207">
        <f>[1]!'AI[32].H.V'</f>
        <v>0</v>
      </c>
      <c r="BA36" s="207">
        <f>[1]!'AI[32].H.fix'</f>
        <v>0</v>
      </c>
      <c r="BB36" s="208"/>
      <c r="BC36" s="203">
        <f>[1]!'AI[32].LL.EN'</f>
        <v>0</v>
      </c>
      <c r="BD36" s="207">
        <f>[1]!'AI[32].LL.V'</f>
        <v>0</v>
      </c>
      <c r="BE36" s="207">
        <f>[1]!'AI[32].LL.fix'</f>
        <v>0</v>
      </c>
      <c r="BF36" s="208"/>
      <c r="BG36" s="203">
        <f>[1]!'AI[32].HH.EN'</f>
        <v>0</v>
      </c>
      <c r="BH36" s="207">
        <f>[1]!'AI[32].HH.V'</f>
        <v>0</v>
      </c>
      <c r="BI36" s="207">
        <f>[1]!'AI[32].HH.fix'</f>
        <v>0</v>
      </c>
      <c r="BJ36" s="209"/>
      <c r="BK36" s="207">
        <f>[1]!'AI[32].group'</f>
        <v>1</v>
      </c>
      <c r="BL36" s="207">
        <f>[1]!'AI[32].state'</f>
        <v>4</v>
      </c>
      <c r="BM36" s="207">
        <f>[1]!'AI[32].isInvScale'</f>
        <v>0</v>
      </c>
    </row>
    <row r="37" spans="1:65">
      <c r="A37" s="445"/>
      <c r="B37" s="446"/>
      <c r="C37" s="221">
        <v>1</v>
      </c>
      <c r="D37" s="221">
        <v>1</v>
      </c>
      <c r="E37" s="222" t="s">
        <v>367</v>
      </c>
      <c r="F37" s="222" t="s">
        <v>368</v>
      </c>
      <c r="G37" s="207">
        <f>[1]!'AI[33].ZL'</f>
        <v>0</v>
      </c>
      <c r="H37" s="207">
        <f>[1]!'AI[33].ZH'</f>
        <v>300</v>
      </c>
      <c r="I37" s="221" t="s">
        <v>366</v>
      </c>
      <c r="J37" s="207">
        <f>[1]!'AI[33].RL.V'</f>
        <v>130</v>
      </c>
      <c r="K37" s="207">
        <f>[1]!'AI[33].RH.V'</f>
        <v>270</v>
      </c>
      <c r="L37" s="207">
        <f>[1]!'AI[33].L.V'</f>
        <v>0</v>
      </c>
      <c r="M37" s="207">
        <f>[1]!'AI[33].H.V'</f>
        <v>0</v>
      </c>
      <c r="N37" s="207">
        <f>[1]!'AI[33].LL.V'</f>
        <v>0</v>
      </c>
      <c r="O37" s="207">
        <f>[1]!'AI[33].HH.V'</f>
        <v>0</v>
      </c>
      <c r="P37" s="223">
        <v>1</v>
      </c>
      <c r="Q37" s="224">
        <v>0</v>
      </c>
      <c r="R37" s="184"/>
      <c r="S37" s="230"/>
      <c r="T37" s="207">
        <f>[1]!'AI[33].group'</f>
        <v>1</v>
      </c>
      <c r="U37" s="230"/>
      <c r="V37" s="230"/>
      <c r="X37" s="203">
        <f>[1]!'AI[33].EN'</f>
        <v>1</v>
      </c>
      <c r="Y37" s="207">
        <f>[1]!'AI[33].i'</f>
        <v>3.7689210000000002E-3</v>
      </c>
      <c r="Z37" s="207">
        <f>[1]!'AI[33].isForce'</f>
        <v>0</v>
      </c>
      <c r="AA37" s="207" t="e">
        <f>[1]!'AI[33].vRaw'</f>
        <v>#REF!</v>
      </c>
      <c r="AB37" s="203">
        <f>[1]!'AI[33].isCorrect'</f>
        <v>0</v>
      </c>
      <c r="AC37" s="207" t="e">
        <f>[1]!'AI[33].vCorrect'</f>
        <v>#REF!</v>
      </c>
      <c r="AD37" s="207">
        <f>[1]!'AI[33].v'</f>
        <v>0</v>
      </c>
      <c r="AE37" s="203" t="e">
        <f>[1]!'AI[33].isCut'</f>
        <v>#REF!</v>
      </c>
      <c r="AF37" s="207" t="e">
        <f>[1]!'AI[33].vCut'</f>
        <v>#REF!</v>
      </c>
      <c r="AG37" s="208"/>
      <c r="AH37" s="207">
        <f>[1]!'AI[33].break.sgn'</f>
        <v>1</v>
      </c>
      <c r="AI37" s="208"/>
      <c r="AJ37" s="207">
        <f>[1]!'AI[33].ZL'</f>
        <v>0</v>
      </c>
      <c r="AK37" s="207">
        <f>[1]!'AI[33].ZH'</f>
        <v>300</v>
      </c>
      <c r="AL37" s="208"/>
      <c r="AM37" s="203">
        <f>[1]!'AI[33].RL.EN'</f>
        <v>1</v>
      </c>
      <c r="AN37" s="207">
        <f>[1]!'AI[33].RL.V'</f>
        <v>130</v>
      </c>
      <c r="AO37" s="207">
        <f>[1]!'AI[33].RL.fix'</f>
        <v>0</v>
      </c>
      <c r="AP37" s="208"/>
      <c r="AQ37" s="203">
        <f>[1]!'AI[33].RH.EN'</f>
        <v>1</v>
      </c>
      <c r="AR37" s="207">
        <f>[1]!'AI[33].RH.V'</f>
        <v>270</v>
      </c>
      <c r="AS37" s="207">
        <f>[1]!'AI[33].RH.fix'</f>
        <v>0</v>
      </c>
      <c r="AT37" s="208"/>
      <c r="AU37" s="203">
        <f>[1]!'AI[33].L.EN'</f>
        <v>0</v>
      </c>
      <c r="AV37" s="207">
        <f>[1]!'AI[33].L.V'</f>
        <v>0</v>
      </c>
      <c r="AW37" s="207">
        <f>[1]!'AI[33].L.fix'</f>
        <v>0</v>
      </c>
      <c r="AX37" s="208"/>
      <c r="AY37" s="203">
        <f>[1]!'AI[33].H.EN'</f>
        <v>0</v>
      </c>
      <c r="AZ37" s="207">
        <f>[1]!'AI[33].H.V'</f>
        <v>0</v>
      </c>
      <c r="BA37" s="207">
        <f>[1]!'AI[33].H.fix'</f>
        <v>0</v>
      </c>
      <c r="BB37" s="208"/>
      <c r="BC37" s="203">
        <f>[1]!'AI[33].LL.EN'</f>
        <v>0</v>
      </c>
      <c r="BD37" s="207">
        <f>[1]!'AI[33].LL.V'</f>
        <v>0</v>
      </c>
      <c r="BE37" s="207">
        <f>[1]!'AI[33].LL.fix'</f>
        <v>0</v>
      </c>
      <c r="BF37" s="208"/>
      <c r="BG37" s="203">
        <f>[1]!'AI[33].HH.EN'</f>
        <v>0</v>
      </c>
      <c r="BH37" s="207">
        <f>[1]!'AI[33].HH.V'</f>
        <v>0</v>
      </c>
      <c r="BI37" s="207">
        <f>[1]!'AI[33].HH.fix'</f>
        <v>0</v>
      </c>
      <c r="BJ37" s="209"/>
      <c r="BK37" s="207">
        <f>[1]!'AI[33].group'</f>
        <v>1</v>
      </c>
      <c r="BL37" s="207">
        <f>[1]!'AI[33].state'</f>
        <v>4</v>
      </c>
      <c r="BM37" s="207">
        <f>[1]!'AI[33].isInvScale'</f>
        <v>0</v>
      </c>
    </row>
    <row r="38" spans="1:65">
      <c r="A38" s="445"/>
      <c r="B38" s="446"/>
      <c r="C38" s="221">
        <v>2</v>
      </c>
      <c r="D38" s="221">
        <v>2</v>
      </c>
      <c r="E38" s="222" t="s">
        <v>369</v>
      </c>
      <c r="F38" s="222" t="s">
        <v>370</v>
      </c>
      <c r="G38" s="207">
        <f>[1]!'AI[34].ZL'</f>
        <v>0</v>
      </c>
      <c r="H38" s="207">
        <f>[1]!'AI[34].ZH'</f>
        <v>300</v>
      </c>
      <c r="I38" s="221" t="s">
        <v>366</v>
      </c>
      <c r="J38" s="207">
        <f>[1]!'AI[34].RL.V'</f>
        <v>130</v>
      </c>
      <c r="K38" s="207">
        <f>[1]!'AI[34].RH.V'</f>
        <v>270</v>
      </c>
      <c r="L38" s="207">
        <f>[1]!'AI[34].L.V'</f>
        <v>0</v>
      </c>
      <c r="M38" s="207">
        <f>[1]!'AI[34].H.V'</f>
        <v>0</v>
      </c>
      <c r="N38" s="207">
        <f>[1]!'AI[34].LL.V'</f>
        <v>0</v>
      </c>
      <c r="O38" s="207">
        <f>[1]!'AI[34].HH.V'</f>
        <v>0</v>
      </c>
      <c r="P38" s="223">
        <v>1</v>
      </c>
      <c r="Q38" s="224">
        <v>0</v>
      </c>
      <c r="R38" s="184"/>
      <c r="S38" s="230"/>
      <c r="T38" s="207">
        <f>[1]!'AI[34].group'</f>
        <v>1</v>
      </c>
      <c r="U38" s="230"/>
      <c r="V38" s="230"/>
      <c r="X38" s="203">
        <f>[1]!'AI[34].EN'</f>
        <v>1</v>
      </c>
      <c r="Y38" s="207">
        <f>[1]!'AI[34].i'</f>
        <v>3.7689210000000002E-3</v>
      </c>
      <c r="Z38" s="207">
        <f>[1]!'AI[34].isForce'</f>
        <v>0</v>
      </c>
      <c r="AA38" s="207" t="e">
        <f>[1]!'AI[34].vRaw'</f>
        <v>#REF!</v>
      </c>
      <c r="AB38" s="203">
        <f>[1]!'AI[34].isCorrect'</f>
        <v>0</v>
      </c>
      <c r="AC38" s="207" t="e">
        <f>[1]!'AI[34].vCorrect'</f>
        <v>#REF!</v>
      </c>
      <c r="AD38" s="207">
        <f>[1]!'AI[34].v'</f>
        <v>0</v>
      </c>
      <c r="AE38" s="203" t="e">
        <f>[1]!'AI[34].isCut'</f>
        <v>#REF!</v>
      </c>
      <c r="AF38" s="207" t="e">
        <f>[1]!'AI[34].vCut'</f>
        <v>#REF!</v>
      </c>
      <c r="AG38" s="208"/>
      <c r="AH38" s="207">
        <f>[1]!'AI[34].break.sgn'</f>
        <v>1</v>
      </c>
      <c r="AI38" s="208"/>
      <c r="AJ38" s="207">
        <f>[1]!'AI[34].ZL'</f>
        <v>0</v>
      </c>
      <c r="AK38" s="207">
        <f>[1]!'AI[34].ZH'</f>
        <v>300</v>
      </c>
      <c r="AL38" s="208"/>
      <c r="AM38" s="203">
        <f>[1]!'AI[34].RL.EN'</f>
        <v>1</v>
      </c>
      <c r="AN38" s="207">
        <f>[1]!'AI[34].RL.V'</f>
        <v>130</v>
      </c>
      <c r="AO38" s="207">
        <f>[1]!'AI[34].RL.fix'</f>
        <v>0</v>
      </c>
      <c r="AP38" s="208"/>
      <c r="AQ38" s="203">
        <f>[1]!'AI[34].RH.EN'</f>
        <v>1</v>
      </c>
      <c r="AR38" s="207">
        <f>[1]!'AI[34].RH.V'</f>
        <v>270</v>
      </c>
      <c r="AS38" s="207">
        <f>[1]!'AI[34].RH.fix'</f>
        <v>0</v>
      </c>
      <c r="AT38" s="208"/>
      <c r="AU38" s="203">
        <f>[1]!'AI[34].L.EN'</f>
        <v>0</v>
      </c>
      <c r="AV38" s="207">
        <f>[1]!'AI[34].L.V'</f>
        <v>0</v>
      </c>
      <c r="AW38" s="207">
        <f>[1]!'AI[34].L.fix'</f>
        <v>0</v>
      </c>
      <c r="AX38" s="208"/>
      <c r="AY38" s="203">
        <f>[1]!'AI[34].H.EN'</f>
        <v>0</v>
      </c>
      <c r="AZ38" s="207">
        <f>[1]!'AI[34].H.V'</f>
        <v>0</v>
      </c>
      <c r="BA38" s="207">
        <f>[1]!'AI[34].H.fix'</f>
        <v>0</v>
      </c>
      <c r="BB38" s="208"/>
      <c r="BC38" s="203">
        <f>[1]!'AI[34].LL.EN'</f>
        <v>0</v>
      </c>
      <c r="BD38" s="207">
        <f>[1]!'AI[34].LL.V'</f>
        <v>0</v>
      </c>
      <c r="BE38" s="207">
        <f>[1]!'AI[34].LL.fix'</f>
        <v>0</v>
      </c>
      <c r="BF38" s="208"/>
      <c r="BG38" s="203">
        <f>[1]!'AI[34].HH.EN'</f>
        <v>0</v>
      </c>
      <c r="BH38" s="207">
        <f>[1]!'AI[34].HH.V'</f>
        <v>0</v>
      </c>
      <c r="BI38" s="207">
        <f>[1]!'AI[34].HH.fix'</f>
        <v>0</v>
      </c>
      <c r="BJ38" s="209"/>
      <c r="BK38" s="207">
        <f>[1]!'AI[34].group'</f>
        <v>1</v>
      </c>
      <c r="BL38" s="207">
        <f>[1]!'AI[34].state'</f>
        <v>4</v>
      </c>
      <c r="BM38" s="207">
        <f>[1]!'AI[34].isInvScale'</f>
        <v>0</v>
      </c>
    </row>
    <row r="39" spans="1:65">
      <c r="A39" s="445"/>
      <c r="B39" s="446"/>
      <c r="C39" s="221">
        <v>3</v>
      </c>
      <c r="D39" s="221">
        <v>3</v>
      </c>
      <c r="E39" s="222" t="s">
        <v>371</v>
      </c>
      <c r="F39" s="222" t="s">
        <v>372</v>
      </c>
      <c r="G39" s="207">
        <f>[1]!'AI[35].ZL'</f>
        <v>0</v>
      </c>
      <c r="H39" s="207">
        <f>[1]!'AI[35].ZH'</f>
        <v>300</v>
      </c>
      <c r="I39" s="221" t="s">
        <v>366</v>
      </c>
      <c r="J39" s="207">
        <f>[1]!'AI[35].RL.V'</f>
        <v>40</v>
      </c>
      <c r="K39" s="207">
        <f>[1]!'AI[35].RH.V'</f>
        <v>160</v>
      </c>
      <c r="L39" s="207">
        <f>[1]!'AI[35].L.V'</f>
        <v>0</v>
      </c>
      <c r="M39" s="207">
        <f>[1]!'AI[35].H.V'</f>
        <v>0</v>
      </c>
      <c r="N39" s="207">
        <f>[1]!'AI[35].LL.V'</f>
        <v>0</v>
      </c>
      <c r="O39" s="207">
        <f>[1]!'AI[35].HH.V'</f>
        <v>0</v>
      </c>
      <c r="P39" s="223">
        <v>1</v>
      </c>
      <c r="Q39" s="224">
        <v>0</v>
      </c>
      <c r="R39" s="184"/>
      <c r="S39" s="230"/>
      <c r="T39" s="207">
        <f>[1]!'AI[35].group'</f>
        <v>1</v>
      </c>
      <c r="U39" s="230"/>
      <c r="V39" s="230"/>
      <c r="X39" s="203">
        <f>[1]!'AI[35].EN'</f>
        <v>1</v>
      </c>
      <c r="Y39" s="207">
        <f>[1]!'AI[35].i'</f>
        <v>3.7689210000000002E-3</v>
      </c>
      <c r="Z39" s="207">
        <f>[1]!'AI[35].isForce'</f>
        <v>0</v>
      </c>
      <c r="AA39" s="207" t="e">
        <f>[1]!'AI[35].vRaw'</f>
        <v>#REF!</v>
      </c>
      <c r="AB39" s="203">
        <f>[1]!'AI[35].isCorrect'</f>
        <v>0</v>
      </c>
      <c r="AC39" s="207" t="e">
        <f>[1]!'AI[35].vCorrect'</f>
        <v>#REF!</v>
      </c>
      <c r="AD39" s="207">
        <f>[1]!'AI[35].v'</f>
        <v>0</v>
      </c>
      <c r="AE39" s="203" t="e">
        <f>[1]!'AI[35].isCut'</f>
        <v>#REF!</v>
      </c>
      <c r="AF39" s="207" t="e">
        <f>[1]!'AI[35].vCut'</f>
        <v>#REF!</v>
      </c>
      <c r="AG39" s="208"/>
      <c r="AH39" s="207">
        <f>[1]!'AI[35].break.sgn'</f>
        <v>1</v>
      </c>
      <c r="AI39" s="208"/>
      <c r="AJ39" s="207">
        <f>[1]!'AI[35].ZL'</f>
        <v>0</v>
      </c>
      <c r="AK39" s="207">
        <f>[1]!'AI[35].ZH'</f>
        <v>300</v>
      </c>
      <c r="AL39" s="208"/>
      <c r="AM39" s="203">
        <f>[1]!'AI[35].RL.EN'</f>
        <v>1</v>
      </c>
      <c r="AN39" s="207">
        <f>[1]!'AI[35].RL.V'</f>
        <v>40</v>
      </c>
      <c r="AO39" s="207">
        <f>[1]!'AI[35].RL.fix'</f>
        <v>0</v>
      </c>
      <c r="AP39" s="208"/>
      <c r="AQ39" s="203">
        <f>[1]!'AI[35].RH.EN'</f>
        <v>1</v>
      </c>
      <c r="AR39" s="207">
        <f>[1]!'AI[35].RH.V'</f>
        <v>160</v>
      </c>
      <c r="AS39" s="207">
        <f>[1]!'AI[35].RH.fix'</f>
        <v>0</v>
      </c>
      <c r="AT39" s="208"/>
      <c r="AU39" s="203">
        <f>[1]!'AI[35].L.EN'</f>
        <v>0</v>
      </c>
      <c r="AV39" s="207">
        <f>[1]!'AI[35].L.V'</f>
        <v>0</v>
      </c>
      <c r="AW39" s="207">
        <f>[1]!'AI[35].L.fix'</f>
        <v>0</v>
      </c>
      <c r="AX39" s="208"/>
      <c r="AY39" s="203">
        <f>[1]!'AI[35].H.EN'</f>
        <v>0</v>
      </c>
      <c r="AZ39" s="207">
        <f>[1]!'AI[35].H.V'</f>
        <v>0</v>
      </c>
      <c r="BA39" s="207">
        <f>[1]!'AI[35].H.fix'</f>
        <v>0</v>
      </c>
      <c r="BB39" s="208"/>
      <c r="BC39" s="203">
        <f>[1]!'AI[35].LL.EN'</f>
        <v>0</v>
      </c>
      <c r="BD39" s="207">
        <f>[1]!'AI[35].LL.V'</f>
        <v>0</v>
      </c>
      <c r="BE39" s="207">
        <f>[1]!'AI[35].LL.fix'</f>
        <v>0</v>
      </c>
      <c r="BF39" s="208"/>
      <c r="BG39" s="203">
        <f>[1]!'AI[35].HH.EN'</f>
        <v>0</v>
      </c>
      <c r="BH39" s="207">
        <f>[1]!'AI[35].HH.V'</f>
        <v>0</v>
      </c>
      <c r="BI39" s="207">
        <f>[1]!'AI[35].HH.fix'</f>
        <v>0</v>
      </c>
      <c r="BJ39" s="209"/>
      <c r="BK39" s="207">
        <f>[1]!'AI[35].group'</f>
        <v>1</v>
      </c>
      <c r="BL39" s="207">
        <f>[1]!'AI[35].state'</f>
        <v>4</v>
      </c>
      <c r="BM39" s="207">
        <f>[1]!'AI[35].isInvScale'</f>
        <v>0</v>
      </c>
    </row>
    <row r="40" spans="1:65">
      <c r="A40" s="445"/>
      <c r="B40" s="446"/>
      <c r="C40" s="221">
        <v>4</v>
      </c>
      <c r="D40" s="221">
        <v>4</v>
      </c>
      <c r="E40" s="222" t="s">
        <v>373</v>
      </c>
      <c r="F40" s="222" t="s">
        <v>374</v>
      </c>
      <c r="G40" s="207">
        <f>[1]!'AI[36].ZL'</f>
        <v>0</v>
      </c>
      <c r="H40" s="207">
        <f>[1]!'AI[36].ZH'</f>
        <v>300</v>
      </c>
      <c r="I40" s="221" t="s">
        <v>366</v>
      </c>
      <c r="J40" s="207">
        <f>[1]!'AI[36].RL.V'</f>
        <v>40</v>
      </c>
      <c r="K40" s="207">
        <f>[1]!'AI[36].RH.V'</f>
        <v>160</v>
      </c>
      <c r="L40" s="207">
        <f>[1]!'AI[36].L.V'</f>
        <v>0</v>
      </c>
      <c r="M40" s="207">
        <f>[1]!'AI[36].H.V'</f>
        <v>0</v>
      </c>
      <c r="N40" s="207">
        <f>[1]!'AI[36].LL.V'</f>
        <v>0</v>
      </c>
      <c r="O40" s="207">
        <f>[1]!'AI[36].HH.V'</f>
        <v>0</v>
      </c>
      <c r="P40" s="223">
        <v>1</v>
      </c>
      <c r="Q40" s="224">
        <v>0</v>
      </c>
      <c r="R40" s="184"/>
      <c r="S40" s="230"/>
      <c r="T40" s="207">
        <f>[1]!'AI[36].group'</f>
        <v>1</v>
      </c>
      <c r="U40" s="230"/>
      <c r="V40" s="230"/>
      <c r="X40" s="203">
        <f>[1]!'AI[36].EN'</f>
        <v>1</v>
      </c>
      <c r="Y40" s="207">
        <f>[1]!'AI[36].i'</f>
        <v>2.5129319999999998E-3</v>
      </c>
      <c r="Z40" s="207">
        <f>[1]!'AI[36].isForce'</f>
        <v>0</v>
      </c>
      <c r="AA40" s="207" t="e">
        <f>[1]!'AI[36].vRaw'</f>
        <v>#REF!</v>
      </c>
      <c r="AB40" s="203">
        <f>[1]!'AI[36].isCorrect'</f>
        <v>0</v>
      </c>
      <c r="AC40" s="207" t="e">
        <f>[1]!'AI[36].vCorrect'</f>
        <v>#REF!</v>
      </c>
      <c r="AD40" s="207">
        <f>[1]!'AI[36].v'</f>
        <v>0</v>
      </c>
      <c r="AE40" s="203" t="e">
        <f>[1]!'AI[36].isCut'</f>
        <v>#REF!</v>
      </c>
      <c r="AF40" s="207" t="e">
        <f>[1]!'AI[36].vCut'</f>
        <v>#REF!</v>
      </c>
      <c r="AG40" s="208"/>
      <c r="AH40" s="207">
        <f>[1]!'AI[36].break.sgn'</f>
        <v>1</v>
      </c>
      <c r="AI40" s="208"/>
      <c r="AJ40" s="207">
        <f>[1]!'AI[36].ZL'</f>
        <v>0</v>
      </c>
      <c r="AK40" s="207">
        <f>[1]!'AI[36].ZH'</f>
        <v>300</v>
      </c>
      <c r="AL40" s="208"/>
      <c r="AM40" s="203">
        <f>[1]!'AI[36].RL.EN'</f>
        <v>1</v>
      </c>
      <c r="AN40" s="207">
        <f>[1]!'AI[36].RL.V'</f>
        <v>40</v>
      </c>
      <c r="AO40" s="207">
        <f>[1]!'AI[36].RL.fix'</f>
        <v>0</v>
      </c>
      <c r="AP40" s="208"/>
      <c r="AQ40" s="203">
        <f>[1]!'AI[36].RH.EN'</f>
        <v>1</v>
      </c>
      <c r="AR40" s="207">
        <f>[1]!'AI[36].RH.V'</f>
        <v>160</v>
      </c>
      <c r="AS40" s="207">
        <f>[1]!'AI[36].RH.fix'</f>
        <v>0</v>
      </c>
      <c r="AT40" s="208"/>
      <c r="AU40" s="203">
        <f>[1]!'AI[36].L.EN'</f>
        <v>0</v>
      </c>
      <c r="AV40" s="207">
        <f>[1]!'AI[36].L.V'</f>
        <v>0</v>
      </c>
      <c r="AW40" s="207">
        <f>[1]!'AI[36].L.fix'</f>
        <v>0</v>
      </c>
      <c r="AX40" s="208"/>
      <c r="AY40" s="203">
        <f>[1]!'AI[36].H.EN'</f>
        <v>0</v>
      </c>
      <c r="AZ40" s="207">
        <f>[1]!'AI[36].H.V'</f>
        <v>0</v>
      </c>
      <c r="BA40" s="207">
        <f>[1]!'AI[36].H.fix'</f>
        <v>0</v>
      </c>
      <c r="BB40" s="208"/>
      <c r="BC40" s="203">
        <f>[1]!'AI[36].LL.EN'</f>
        <v>0</v>
      </c>
      <c r="BD40" s="207">
        <f>[1]!'AI[36].LL.V'</f>
        <v>0</v>
      </c>
      <c r="BE40" s="207">
        <f>[1]!'AI[36].LL.fix'</f>
        <v>0</v>
      </c>
      <c r="BF40" s="208"/>
      <c r="BG40" s="203">
        <f>[1]!'AI[36].HH.EN'</f>
        <v>0</v>
      </c>
      <c r="BH40" s="207">
        <f>[1]!'AI[36].HH.V'</f>
        <v>0</v>
      </c>
      <c r="BI40" s="207">
        <f>[1]!'AI[36].HH.fix'</f>
        <v>0</v>
      </c>
      <c r="BJ40" s="209"/>
      <c r="BK40" s="207">
        <f>[1]!'AI[36].group'</f>
        <v>1</v>
      </c>
      <c r="BL40" s="207">
        <f>[1]!'AI[36].state'</f>
        <v>4</v>
      </c>
      <c r="BM40" s="207">
        <f>[1]!'AI[36].isInvScale'</f>
        <v>0</v>
      </c>
    </row>
    <row r="41" spans="1:65">
      <c r="A41" s="445"/>
      <c r="B41" s="446"/>
      <c r="C41" s="221">
        <v>5</v>
      </c>
      <c r="D41" s="221">
        <v>5</v>
      </c>
      <c r="E41" s="222" t="s">
        <v>375</v>
      </c>
      <c r="F41" s="222" t="s">
        <v>376</v>
      </c>
      <c r="G41" s="207">
        <f>[1]!'AI[37].ZL'</f>
        <v>0</v>
      </c>
      <c r="H41" s="207">
        <f>[1]!'AI[37].ZH'</f>
        <v>300</v>
      </c>
      <c r="I41" s="221" t="s">
        <v>366</v>
      </c>
      <c r="J41" s="207">
        <f>[1]!'AI[37].RL.V'</f>
        <v>40</v>
      </c>
      <c r="K41" s="207">
        <f>[1]!'AI[37].RH.V'</f>
        <v>160</v>
      </c>
      <c r="L41" s="207">
        <f>[1]!'AI[37].L.V'</f>
        <v>0</v>
      </c>
      <c r="M41" s="207">
        <f>[1]!'AI[37].H.V'</f>
        <v>0</v>
      </c>
      <c r="N41" s="207">
        <f>[1]!'AI[37].LL.V'</f>
        <v>0</v>
      </c>
      <c r="O41" s="207">
        <f>[1]!'AI[37].HH.V'</f>
        <v>0</v>
      </c>
      <c r="P41" s="223">
        <v>1</v>
      </c>
      <c r="Q41" s="224">
        <v>0</v>
      </c>
      <c r="R41" s="184"/>
      <c r="S41" s="230"/>
      <c r="T41" s="207">
        <f>[1]!'AI[37].group'</f>
        <v>1</v>
      </c>
      <c r="U41" s="230"/>
      <c r="V41" s="230"/>
      <c r="X41" s="203">
        <f>[1]!'AI[37].EN'</f>
        <v>1</v>
      </c>
      <c r="Y41" s="207">
        <f>[1]!'AI[37].i'</f>
        <v>2.5129319999999998E-3</v>
      </c>
      <c r="Z41" s="207">
        <f>[1]!'AI[37].isForce'</f>
        <v>0</v>
      </c>
      <c r="AA41" s="207" t="e">
        <f>[1]!'AI[37].vRaw'</f>
        <v>#REF!</v>
      </c>
      <c r="AB41" s="203">
        <f>[1]!'AI[37].isCorrect'</f>
        <v>0</v>
      </c>
      <c r="AC41" s="207" t="e">
        <f>[1]!'AI[37].vCorrect'</f>
        <v>#REF!</v>
      </c>
      <c r="AD41" s="207">
        <f>[1]!'AI[37].v'</f>
        <v>0</v>
      </c>
      <c r="AE41" s="203" t="e">
        <f>[1]!'AI[37].isCut'</f>
        <v>#REF!</v>
      </c>
      <c r="AF41" s="207" t="e">
        <f>[1]!'AI[37].vCut'</f>
        <v>#REF!</v>
      </c>
      <c r="AG41" s="208"/>
      <c r="AH41" s="207">
        <f>[1]!'AI[37].break.sgn'</f>
        <v>1</v>
      </c>
      <c r="AI41" s="208"/>
      <c r="AJ41" s="207">
        <f>[1]!'AI[37].ZL'</f>
        <v>0</v>
      </c>
      <c r="AK41" s="207">
        <f>[1]!'AI[37].ZH'</f>
        <v>300</v>
      </c>
      <c r="AL41" s="208"/>
      <c r="AM41" s="203">
        <f>[1]!'AI[37].RL.EN'</f>
        <v>1</v>
      </c>
      <c r="AN41" s="207">
        <f>[1]!'AI[37].RL.V'</f>
        <v>40</v>
      </c>
      <c r="AO41" s="207">
        <f>[1]!'AI[37].RL.fix'</f>
        <v>0</v>
      </c>
      <c r="AP41" s="208"/>
      <c r="AQ41" s="203">
        <f>[1]!'AI[37].RH.EN'</f>
        <v>1</v>
      </c>
      <c r="AR41" s="207">
        <f>[1]!'AI[37].RH.V'</f>
        <v>160</v>
      </c>
      <c r="AS41" s="207">
        <f>[1]!'AI[37].RH.fix'</f>
        <v>0</v>
      </c>
      <c r="AT41" s="208"/>
      <c r="AU41" s="203">
        <f>[1]!'AI[37].L.EN'</f>
        <v>0</v>
      </c>
      <c r="AV41" s="207">
        <f>[1]!'AI[37].L.V'</f>
        <v>0</v>
      </c>
      <c r="AW41" s="207">
        <f>[1]!'AI[37].L.fix'</f>
        <v>0</v>
      </c>
      <c r="AX41" s="208"/>
      <c r="AY41" s="203">
        <f>[1]!'AI[37].H.EN'</f>
        <v>0</v>
      </c>
      <c r="AZ41" s="207">
        <f>[1]!'AI[37].H.V'</f>
        <v>0</v>
      </c>
      <c r="BA41" s="207">
        <f>[1]!'AI[37].H.fix'</f>
        <v>0</v>
      </c>
      <c r="BB41" s="208"/>
      <c r="BC41" s="203">
        <f>[1]!'AI[37].LL.EN'</f>
        <v>0</v>
      </c>
      <c r="BD41" s="207">
        <f>[1]!'AI[37].LL.V'</f>
        <v>0</v>
      </c>
      <c r="BE41" s="207">
        <f>[1]!'AI[37].LL.fix'</f>
        <v>0</v>
      </c>
      <c r="BF41" s="208"/>
      <c r="BG41" s="203">
        <f>[1]!'AI[37].HH.EN'</f>
        <v>0</v>
      </c>
      <c r="BH41" s="207">
        <f>[1]!'AI[37].HH.V'</f>
        <v>0</v>
      </c>
      <c r="BI41" s="207">
        <f>[1]!'AI[37].HH.fix'</f>
        <v>0</v>
      </c>
      <c r="BJ41" s="209"/>
      <c r="BK41" s="207">
        <f>[1]!'AI[37].group'</f>
        <v>1</v>
      </c>
      <c r="BL41" s="207">
        <f>[1]!'AI[37].state'</f>
        <v>4</v>
      </c>
      <c r="BM41" s="207">
        <f>[1]!'AI[37].isInvScale'</f>
        <v>0</v>
      </c>
    </row>
    <row r="42" spans="1:65">
      <c r="A42" s="445"/>
      <c r="B42" s="446"/>
      <c r="C42" s="221">
        <v>6</v>
      </c>
      <c r="D42" s="221">
        <v>6</v>
      </c>
      <c r="E42" s="222" t="s">
        <v>377</v>
      </c>
      <c r="F42" s="222" t="s">
        <v>378</v>
      </c>
      <c r="G42" s="207">
        <f>[1]!'AI[38].ZL'</f>
        <v>0</v>
      </c>
      <c r="H42" s="207">
        <f>[1]!'AI[38].ZH'</f>
        <v>300</v>
      </c>
      <c r="I42" s="221" t="s">
        <v>366</v>
      </c>
      <c r="J42" s="207">
        <f>[1]!'AI[38].RL.V'</f>
        <v>130</v>
      </c>
      <c r="K42" s="207">
        <f>[1]!'AI[38].RH.V'</f>
        <v>250</v>
      </c>
      <c r="L42" s="207">
        <f>[1]!'AI[38].L.V'</f>
        <v>0</v>
      </c>
      <c r="M42" s="207">
        <f>[1]!'AI[38].H.V'</f>
        <v>0</v>
      </c>
      <c r="N42" s="207">
        <f>[1]!'AI[38].LL.V'</f>
        <v>0</v>
      </c>
      <c r="O42" s="207">
        <f>[1]!'AI[38].HH.V'</f>
        <v>0</v>
      </c>
      <c r="P42" s="223">
        <v>1</v>
      </c>
      <c r="Q42" s="224">
        <v>0</v>
      </c>
      <c r="R42" s="184"/>
      <c r="S42" s="230"/>
      <c r="T42" s="207">
        <f>[1]!'AI[38].group'</f>
        <v>1</v>
      </c>
      <c r="U42" s="230"/>
      <c r="V42" s="230"/>
      <c r="X42" s="203">
        <f>[1]!'AI[38].EN'</f>
        <v>1</v>
      </c>
      <c r="Y42" s="207">
        <f>[1]!'AI[38].i'</f>
        <v>2.5129319999999998E-3</v>
      </c>
      <c r="Z42" s="207">
        <f>[1]!'AI[38].isForce'</f>
        <v>0</v>
      </c>
      <c r="AA42" s="207" t="e">
        <f>[1]!'AI[38].vRaw'</f>
        <v>#REF!</v>
      </c>
      <c r="AB42" s="203">
        <f>[1]!'AI[38].isCorrect'</f>
        <v>0</v>
      </c>
      <c r="AC42" s="207" t="e">
        <f>[1]!'AI[38].vCorrect'</f>
        <v>#REF!</v>
      </c>
      <c r="AD42" s="207">
        <f>[1]!'AI[38].v'</f>
        <v>0</v>
      </c>
      <c r="AE42" s="203" t="e">
        <f>[1]!'AI[38].isCut'</f>
        <v>#REF!</v>
      </c>
      <c r="AF42" s="207" t="e">
        <f>[1]!'AI[38].vCut'</f>
        <v>#REF!</v>
      </c>
      <c r="AG42" s="208"/>
      <c r="AH42" s="207">
        <f>[1]!'AI[38].break.sgn'</f>
        <v>1</v>
      </c>
      <c r="AI42" s="208"/>
      <c r="AJ42" s="207">
        <f>[1]!'AI[38].ZL'</f>
        <v>0</v>
      </c>
      <c r="AK42" s="207">
        <f>[1]!'AI[38].ZH'</f>
        <v>300</v>
      </c>
      <c r="AL42" s="208"/>
      <c r="AM42" s="203">
        <f>[1]!'AI[38].RL.EN'</f>
        <v>1</v>
      </c>
      <c r="AN42" s="207">
        <f>[1]!'AI[38].RL.V'</f>
        <v>130</v>
      </c>
      <c r="AO42" s="207">
        <f>[1]!'AI[38].RL.fix'</f>
        <v>0</v>
      </c>
      <c r="AP42" s="208"/>
      <c r="AQ42" s="203">
        <f>[1]!'AI[38].RH.EN'</f>
        <v>1</v>
      </c>
      <c r="AR42" s="207">
        <f>[1]!'AI[38].RH.V'</f>
        <v>250</v>
      </c>
      <c r="AS42" s="207">
        <f>[1]!'AI[38].RH.fix'</f>
        <v>0</v>
      </c>
      <c r="AT42" s="208"/>
      <c r="AU42" s="203">
        <f>[1]!'AI[38].L.EN'</f>
        <v>0</v>
      </c>
      <c r="AV42" s="207">
        <f>[1]!'AI[38].L.V'</f>
        <v>0</v>
      </c>
      <c r="AW42" s="207">
        <f>[1]!'AI[38].L.fix'</f>
        <v>0</v>
      </c>
      <c r="AX42" s="208"/>
      <c r="AY42" s="203">
        <f>[1]!'AI[38].H.EN'</f>
        <v>0</v>
      </c>
      <c r="AZ42" s="207">
        <f>[1]!'AI[38].H.V'</f>
        <v>0</v>
      </c>
      <c r="BA42" s="207">
        <f>[1]!'AI[38].H.fix'</f>
        <v>0</v>
      </c>
      <c r="BB42" s="208"/>
      <c r="BC42" s="203">
        <f>[1]!'AI[38].LL.EN'</f>
        <v>0</v>
      </c>
      <c r="BD42" s="207">
        <f>[1]!'AI[38].LL.V'</f>
        <v>0</v>
      </c>
      <c r="BE42" s="207">
        <f>[1]!'AI[38].LL.fix'</f>
        <v>0</v>
      </c>
      <c r="BF42" s="208"/>
      <c r="BG42" s="203">
        <f>[1]!'AI[38].HH.EN'</f>
        <v>0</v>
      </c>
      <c r="BH42" s="207">
        <f>[1]!'AI[38].HH.V'</f>
        <v>0</v>
      </c>
      <c r="BI42" s="207">
        <f>[1]!'AI[38].HH.fix'</f>
        <v>0</v>
      </c>
      <c r="BJ42" s="209"/>
      <c r="BK42" s="207">
        <f>[1]!'AI[38].group'</f>
        <v>1</v>
      </c>
      <c r="BL42" s="207">
        <f>[1]!'AI[38].state'</f>
        <v>4</v>
      </c>
      <c r="BM42" s="207">
        <f>[1]!'AI[38].isInvScale'</f>
        <v>0</v>
      </c>
    </row>
    <row r="43" spans="1:65">
      <c r="A43" s="445"/>
      <c r="B43" s="446"/>
      <c r="C43" s="221">
        <v>7</v>
      </c>
      <c r="D43" s="221">
        <v>7</v>
      </c>
      <c r="E43" s="222" t="s">
        <v>379</v>
      </c>
      <c r="F43" s="222" t="s">
        <v>380</v>
      </c>
      <c r="G43" s="207">
        <f>[1]!'AI[39].ZL'</f>
        <v>0</v>
      </c>
      <c r="H43" s="207">
        <f>[1]!'AI[39].ZH'</f>
        <v>100</v>
      </c>
      <c r="I43" s="221" t="s">
        <v>366</v>
      </c>
      <c r="J43" s="207">
        <f>[1]!'AI[39].RL.V'</f>
        <v>0</v>
      </c>
      <c r="K43" s="207">
        <f>[1]!'AI[39].RH.V'</f>
        <v>85</v>
      </c>
      <c r="L43" s="207">
        <f>[1]!'AI[39].L.V'</f>
        <v>0</v>
      </c>
      <c r="M43" s="207">
        <f>[1]!'AI[39].H.V'</f>
        <v>0</v>
      </c>
      <c r="N43" s="207">
        <f>[1]!'AI[39].LL.V'</f>
        <v>0</v>
      </c>
      <c r="O43" s="207">
        <f>[1]!'AI[39].HH.V'</f>
        <v>0</v>
      </c>
      <c r="P43" s="223">
        <v>1</v>
      </c>
      <c r="Q43" s="224">
        <v>0</v>
      </c>
      <c r="R43" s="184"/>
      <c r="S43" s="229"/>
      <c r="T43" s="207">
        <f>[1]!'AI[39].group'</f>
        <v>1</v>
      </c>
      <c r="U43" s="229"/>
      <c r="V43" s="229"/>
      <c r="X43" s="203">
        <f>[1]!'AI[39].EN'</f>
        <v>1</v>
      </c>
      <c r="Y43" s="207">
        <f>[1]!'AI[39].i'</f>
        <v>2.5129319999999998E-3</v>
      </c>
      <c r="Z43" s="207">
        <f>[1]!'AI[39].isForce'</f>
        <v>0</v>
      </c>
      <c r="AA43" s="207" t="e">
        <f>[1]!'AI[39].vRaw'</f>
        <v>#REF!</v>
      </c>
      <c r="AB43" s="203">
        <f>[1]!'AI[39].isCorrect'</f>
        <v>0</v>
      </c>
      <c r="AC43" s="207" t="e">
        <f>[1]!'AI[39].vCorrect'</f>
        <v>#REF!</v>
      </c>
      <c r="AD43" s="207">
        <f>[1]!'AI[39].v'</f>
        <v>0</v>
      </c>
      <c r="AE43" s="203" t="e">
        <f>[1]!'AI[39].isCut'</f>
        <v>#REF!</v>
      </c>
      <c r="AF43" s="207" t="e">
        <f>[1]!'AI[39].vCut'</f>
        <v>#REF!</v>
      </c>
      <c r="AG43" s="208"/>
      <c r="AH43" s="207">
        <f>[1]!'AI[39].break.sgn'</f>
        <v>1</v>
      </c>
      <c r="AI43" s="208"/>
      <c r="AJ43" s="207">
        <f>[1]!'AI[39].ZL'</f>
        <v>0</v>
      </c>
      <c r="AK43" s="207">
        <f>[1]!'AI[39].ZH'</f>
        <v>100</v>
      </c>
      <c r="AL43" s="208"/>
      <c r="AM43" s="203">
        <f>[1]!'AI[39].RL.EN'</f>
        <v>1</v>
      </c>
      <c r="AN43" s="207">
        <f>[1]!'AI[39].RL.V'</f>
        <v>0</v>
      </c>
      <c r="AO43" s="207">
        <f>[1]!'AI[39].RL.fix'</f>
        <v>0</v>
      </c>
      <c r="AP43" s="208"/>
      <c r="AQ43" s="203">
        <f>[1]!'AI[39].RH.EN'</f>
        <v>1</v>
      </c>
      <c r="AR43" s="207">
        <f>[1]!'AI[39].RH.V'</f>
        <v>85</v>
      </c>
      <c r="AS43" s="207">
        <f>[1]!'AI[39].RH.fix'</f>
        <v>0</v>
      </c>
      <c r="AT43" s="208"/>
      <c r="AU43" s="203">
        <f>[1]!'AI[39].L.EN'</f>
        <v>0</v>
      </c>
      <c r="AV43" s="207">
        <f>[1]!'AI[39].L.V'</f>
        <v>0</v>
      </c>
      <c r="AW43" s="207">
        <f>[1]!'AI[39].L.fix'</f>
        <v>0</v>
      </c>
      <c r="AX43" s="208"/>
      <c r="AY43" s="203">
        <f>[1]!'AI[39].H.EN'</f>
        <v>0</v>
      </c>
      <c r="AZ43" s="207">
        <f>[1]!'AI[39].H.V'</f>
        <v>0</v>
      </c>
      <c r="BA43" s="207">
        <f>[1]!'AI[39].H.fix'</f>
        <v>0</v>
      </c>
      <c r="BB43" s="208"/>
      <c r="BC43" s="203">
        <f>[1]!'AI[39].LL.EN'</f>
        <v>0</v>
      </c>
      <c r="BD43" s="207">
        <f>[1]!'AI[39].LL.V'</f>
        <v>0</v>
      </c>
      <c r="BE43" s="207">
        <f>[1]!'AI[39].LL.fix'</f>
        <v>0</v>
      </c>
      <c r="BF43" s="208"/>
      <c r="BG43" s="203">
        <f>[1]!'AI[39].HH.EN'</f>
        <v>0</v>
      </c>
      <c r="BH43" s="207">
        <f>[1]!'AI[39].HH.V'</f>
        <v>0</v>
      </c>
      <c r="BI43" s="207">
        <f>[1]!'AI[39].HH.fix'</f>
        <v>0</v>
      </c>
      <c r="BJ43" s="209"/>
      <c r="BK43" s="207">
        <f>[1]!'AI[39].group'</f>
        <v>1</v>
      </c>
      <c r="BL43" s="207">
        <f>[1]!'AI[39].state'</f>
        <v>4</v>
      </c>
      <c r="BM43" s="207">
        <f>[1]!'AI[39].isInvScale'</f>
        <v>0</v>
      </c>
    </row>
    <row r="44" spans="1:65">
      <c r="A44" s="445"/>
      <c r="B44" s="446"/>
      <c r="C44" s="221">
        <v>8</v>
      </c>
      <c r="D44" s="221">
        <v>8</v>
      </c>
      <c r="E44" s="222" t="s">
        <v>381</v>
      </c>
      <c r="F44" s="222" t="s">
        <v>382</v>
      </c>
      <c r="G44" s="207">
        <f>[1]!'AI[40].ZL'</f>
        <v>0</v>
      </c>
      <c r="H44" s="207">
        <f>[1]!'AI[40].ZH'</f>
        <v>300</v>
      </c>
      <c r="I44" s="221" t="s">
        <v>383</v>
      </c>
      <c r="J44" s="207">
        <f>[1]!'AI[40].RL.V'</f>
        <v>125</v>
      </c>
      <c r="K44" s="207">
        <f>[1]!'AI[40].RH.V'</f>
        <v>210</v>
      </c>
      <c r="L44" s="207">
        <f>[1]!'AI[40].L.V'</f>
        <v>0</v>
      </c>
      <c r="M44" s="207">
        <f>[1]!'AI[40].H.V'</f>
        <v>0</v>
      </c>
      <c r="N44" s="207">
        <f>[1]!'AI[40].LL.V'</f>
        <v>0</v>
      </c>
      <c r="O44" s="207">
        <f>[1]!'AI[40].HH.V'</f>
        <v>0</v>
      </c>
      <c r="P44" s="223">
        <v>1</v>
      </c>
      <c r="Q44" s="224"/>
      <c r="R44" s="184"/>
      <c r="S44" s="229"/>
      <c r="T44" s="207">
        <f>[1]!'AI[40].group'</f>
        <v>1</v>
      </c>
      <c r="U44" s="229"/>
      <c r="V44" s="229"/>
      <c r="X44" s="203">
        <f>[1]!'AI[40].EN'</f>
        <v>1</v>
      </c>
      <c r="Y44" s="207">
        <f>[1]!'AI[40].i'</f>
        <v>1.8844599999999999E-3</v>
      </c>
      <c r="Z44" s="207">
        <f>[1]!'AI[40].isForce'</f>
        <v>0</v>
      </c>
      <c r="AA44" s="207" t="e">
        <f>[1]!'AI[40].vRaw'</f>
        <v>#REF!</v>
      </c>
      <c r="AB44" s="203">
        <f>[1]!'AI[40].isCorrect'</f>
        <v>0</v>
      </c>
      <c r="AC44" s="207" t="e">
        <f>[1]!'AI[40].vCorrect'</f>
        <v>#REF!</v>
      </c>
      <c r="AD44" s="207">
        <f>[1]!'AI[40].v'</f>
        <v>0</v>
      </c>
      <c r="AE44" s="203" t="e">
        <f>[1]!'AI[40].isCut'</f>
        <v>#REF!</v>
      </c>
      <c r="AF44" s="207" t="e">
        <f>[1]!'AI[40].vCut'</f>
        <v>#REF!</v>
      </c>
      <c r="AG44" s="208"/>
      <c r="AH44" s="207">
        <f>[1]!'AI[40].break.sgn'</f>
        <v>1</v>
      </c>
      <c r="AI44" s="208"/>
      <c r="AJ44" s="207">
        <f>[1]!'AI[40].ZL'</f>
        <v>0</v>
      </c>
      <c r="AK44" s="207">
        <f>[1]!'AI[40].ZH'</f>
        <v>300</v>
      </c>
      <c r="AL44" s="208"/>
      <c r="AM44" s="203">
        <f>[1]!'AI[40].RL.EN'</f>
        <v>1</v>
      </c>
      <c r="AN44" s="207">
        <f>[1]!'AI[40].RL.V'</f>
        <v>125</v>
      </c>
      <c r="AO44" s="207">
        <f>[1]!'AI[40].RL.fix'</f>
        <v>0</v>
      </c>
      <c r="AP44" s="208"/>
      <c r="AQ44" s="203">
        <f>[1]!'AI[40].RH.EN'</f>
        <v>1</v>
      </c>
      <c r="AR44" s="207">
        <f>[1]!'AI[40].RH.V'</f>
        <v>210</v>
      </c>
      <c r="AS44" s="207">
        <f>[1]!'AI[40].RH.fix'</f>
        <v>0</v>
      </c>
      <c r="AT44" s="208"/>
      <c r="AU44" s="203">
        <f>[1]!'AI[40].L.EN'</f>
        <v>0</v>
      </c>
      <c r="AV44" s="207">
        <f>[1]!'AI[40].L.V'</f>
        <v>0</v>
      </c>
      <c r="AW44" s="207">
        <f>[1]!'AI[40].L.fix'</f>
        <v>0</v>
      </c>
      <c r="AX44" s="208"/>
      <c r="AY44" s="203">
        <f>[1]!'AI[40].H.EN'</f>
        <v>0</v>
      </c>
      <c r="AZ44" s="207">
        <f>[1]!'AI[40].H.V'</f>
        <v>0</v>
      </c>
      <c r="BA44" s="207">
        <f>[1]!'AI[40].H.fix'</f>
        <v>0</v>
      </c>
      <c r="BB44" s="208"/>
      <c r="BC44" s="203">
        <f>[1]!'AI[40].LL.EN'</f>
        <v>0</v>
      </c>
      <c r="BD44" s="207">
        <f>[1]!'AI[40].LL.V'</f>
        <v>0</v>
      </c>
      <c r="BE44" s="207">
        <f>[1]!'AI[40].LL.fix'</f>
        <v>0</v>
      </c>
      <c r="BF44" s="208"/>
      <c r="BG44" s="203">
        <f>[1]!'AI[40].HH.EN'</f>
        <v>0</v>
      </c>
      <c r="BH44" s="207">
        <f>[1]!'AI[40].HH.V'</f>
        <v>0</v>
      </c>
      <c r="BI44" s="207">
        <f>[1]!'AI[40].HH.fix'</f>
        <v>0</v>
      </c>
      <c r="BJ44" s="209"/>
      <c r="BK44" s="207">
        <f>[1]!'AI[40].group'</f>
        <v>1</v>
      </c>
      <c r="BL44" s="207">
        <f>[1]!'AI[40].state'</f>
        <v>4</v>
      </c>
      <c r="BM44" s="207">
        <f>[1]!'AI[40].isInvScale'</f>
        <v>0</v>
      </c>
    </row>
    <row r="45" spans="1:65">
      <c r="A45" s="445"/>
      <c r="B45" s="446"/>
      <c r="C45" s="221">
        <v>9</v>
      </c>
      <c r="D45" s="221">
        <v>9</v>
      </c>
      <c r="E45" s="222" t="s">
        <v>384</v>
      </c>
      <c r="F45" s="222" t="s">
        <v>385</v>
      </c>
      <c r="G45" s="207">
        <f>[1]!'AI[41].ZL'</f>
        <v>0</v>
      </c>
      <c r="H45" s="207">
        <f>[1]!'AI[41].ZH'</f>
        <v>300</v>
      </c>
      <c r="I45" s="221" t="s">
        <v>383</v>
      </c>
      <c r="J45" s="207">
        <f>[1]!'AI[41].RL.V'</f>
        <v>125</v>
      </c>
      <c r="K45" s="207">
        <f>[1]!'AI[41].RH.V'</f>
        <v>210</v>
      </c>
      <c r="L45" s="207">
        <f>[1]!'AI[41].L.V'</f>
        <v>0</v>
      </c>
      <c r="M45" s="207">
        <f>[1]!'AI[41].H.V'</f>
        <v>0</v>
      </c>
      <c r="N45" s="207">
        <f>[1]!'AI[41].LL.V'</f>
        <v>0</v>
      </c>
      <c r="O45" s="207">
        <f>[1]!'AI[41].HH.V'</f>
        <v>0</v>
      </c>
      <c r="P45" s="223">
        <v>1</v>
      </c>
      <c r="Q45" s="224"/>
      <c r="R45" s="184"/>
      <c r="S45" s="229"/>
      <c r="T45" s="207">
        <f>[1]!'AI[41].group'</f>
        <v>1</v>
      </c>
      <c r="U45" s="229"/>
      <c r="V45" s="229"/>
      <c r="X45" s="203">
        <f>[1]!'AI[41].EN'</f>
        <v>1</v>
      </c>
      <c r="Y45" s="207">
        <f>[1]!'AI[41].i'</f>
        <v>1.570702E-3</v>
      </c>
      <c r="Z45" s="207">
        <f>[1]!'AI[41].isForce'</f>
        <v>0</v>
      </c>
      <c r="AA45" s="207" t="e">
        <f>[1]!'AI[41].vRaw'</f>
        <v>#REF!</v>
      </c>
      <c r="AB45" s="203">
        <f>[1]!'AI[41].isCorrect'</f>
        <v>0</v>
      </c>
      <c r="AC45" s="207" t="e">
        <f>[1]!'AI[41].vCorrect'</f>
        <v>#REF!</v>
      </c>
      <c r="AD45" s="207">
        <f>[1]!'AI[41].v'</f>
        <v>0</v>
      </c>
      <c r="AE45" s="203" t="e">
        <f>[1]!'AI[41].isCut'</f>
        <v>#REF!</v>
      </c>
      <c r="AF45" s="207" t="e">
        <f>[1]!'AI[41].vCut'</f>
        <v>#REF!</v>
      </c>
      <c r="AG45" s="208"/>
      <c r="AH45" s="207">
        <f>[1]!'AI[41].break.sgn'</f>
        <v>1</v>
      </c>
      <c r="AI45" s="208"/>
      <c r="AJ45" s="207">
        <f>[1]!'AI[41].ZL'</f>
        <v>0</v>
      </c>
      <c r="AK45" s="207">
        <f>[1]!'AI[41].ZH'</f>
        <v>300</v>
      </c>
      <c r="AL45" s="208"/>
      <c r="AM45" s="203">
        <f>[1]!'AI[41].RL.EN'</f>
        <v>1</v>
      </c>
      <c r="AN45" s="207">
        <f>[1]!'AI[41].RL.V'</f>
        <v>125</v>
      </c>
      <c r="AO45" s="207">
        <f>[1]!'AI[41].RL.fix'</f>
        <v>0</v>
      </c>
      <c r="AP45" s="208"/>
      <c r="AQ45" s="203">
        <f>[1]!'AI[41].RH.EN'</f>
        <v>1</v>
      </c>
      <c r="AR45" s="207">
        <f>[1]!'AI[41].RH.V'</f>
        <v>210</v>
      </c>
      <c r="AS45" s="207">
        <f>[1]!'AI[41].RH.fix'</f>
        <v>0</v>
      </c>
      <c r="AT45" s="208"/>
      <c r="AU45" s="203">
        <f>[1]!'AI[41].L.EN'</f>
        <v>0</v>
      </c>
      <c r="AV45" s="207">
        <f>[1]!'AI[41].L.V'</f>
        <v>0</v>
      </c>
      <c r="AW45" s="207">
        <f>[1]!'AI[41].L.fix'</f>
        <v>0</v>
      </c>
      <c r="AX45" s="208"/>
      <c r="AY45" s="203">
        <f>[1]!'AI[41].H.EN'</f>
        <v>0</v>
      </c>
      <c r="AZ45" s="207">
        <f>[1]!'AI[41].H.V'</f>
        <v>0</v>
      </c>
      <c r="BA45" s="207">
        <f>[1]!'AI[41].H.fix'</f>
        <v>0</v>
      </c>
      <c r="BB45" s="208"/>
      <c r="BC45" s="203">
        <f>[1]!'AI[41].LL.EN'</f>
        <v>0</v>
      </c>
      <c r="BD45" s="207">
        <f>[1]!'AI[41].LL.V'</f>
        <v>0</v>
      </c>
      <c r="BE45" s="207">
        <f>[1]!'AI[41].LL.fix'</f>
        <v>0</v>
      </c>
      <c r="BF45" s="208"/>
      <c r="BG45" s="203">
        <f>[1]!'AI[41].HH.EN'</f>
        <v>0</v>
      </c>
      <c r="BH45" s="207">
        <f>[1]!'AI[41].HH.V'</f>
        <v>0</v>
      </c>
      <c r="BI45" s="207">
        <f>[1]!'AI[41].HH.fix'</f>
        <v>0</v>
      </c>
      <c r="BJ45" s="209"/>
      <c r="BK45" s="207">
        <f>[1]!'AI[41].group'</f>
        <v>1</v>
      </c>
      <c r="BL45" s="207">
        <f>[1]!'AI[41].state'</f>
        <v>4</v>
      </c>
      <c r="BM45" s="207">
        <f>[1]!'AI[41].isInvScale'</f>
        <v>0</v>
      </c>
    </row>
    <row r="46" spans="1:65">
      <c r="A46" s="445"/>
      <c r="B46" s="446"/>
      <c r="C46" s="221">
        <v>10</v>
      </c>
      <c r="D46" s="221">
        <v>10</v>
      </c>
      <c r="E46" s="222" t="s">
        <v>386</v>
      </c>
      <c r="F46" s="222" t="s">
        <v>387</v>
      </c>
      <c r="G46" s="207">
        <f>[1]!'AI[42].ZL'</f>
        <v>0</v>
      </c>
      <c r="H46" s="207">
        <f>[1]!'AI[42].ZH'</f>
        <v>300</v>
      </c>
      <c r="I46" s="221" t="s">
        <v>366</v>
      </c>
      <c r="J46" s="207">
        <f>[1]!'AI[42].RL.V'</f>
        <v>125</v>
      </c>
      <c r="K46" s="207">
        <f>[1]!'AI[42].RH.V'</f>
        <v>210</v>
      </c>
      <c r="L46" s="207">
        <f>[1]!'AI[42].L.V'</f>
        <v>0</v>
      </c>
      <c r="M46" s="207">
        <f>[1]!'AI[42].H.V'</f>
        <v>0</v>
      </c>
      <c r="N46" s="207">
        <f>[1]!'AI[42].LL.V'</f>
        <v>0</v>
      </c>
      <c r="O46" s="207">
        <f>[1]!'AI[42].HH.V'</f>
        <v>0</v>
      </c>
      <c r="P46" s="223">
        <v>4</v>
      </c>
      <c r="Q46" s="224">
        <v>3</v>
      </c>
      <c r="R46" s="184"/>
      <c r="S46" s="229"/>
      <c r="T46" s="207">
        <f>[1]!'AI[42].group'</f>
        <v>1</v>
      </c>
      <c r="U46" s="229"/>
      <c r="V46" s="229"/>
      <c r="X46" s="203">
        <f>[1]!'AI[42].EN'</f>
        <v>1</v>
      </c>
      <c r="Y46" s="207">
        <f>[1]!'AI[42].i'</f>
        <v>2.198219E-3</v>
      </c>
      <c r="Z46" s="207">
        <f>[1]!'AI[42].isForce'</f>
        <v>0</v>
      </c>
      <c r="AA46" s="207" t="e">
        <f>[1]!'AI[42].vRaw'</f>
        <v>#REF!</v>
      </c>
      <c r="AB46" s="203">
        <f>[1]!'AI[42].isCorrect'</f>
        <v>0</v>
      </c>
      <c r="AC46" s="207" t="e">
        <f>[1]!'AI[42].vCorrect'</f>
        <v>#REF!</v>
      </c>
      <c r="AD46" s="207">
        <f>[1]!'AI[42].v'</f>
        <v>0</v>
      </c>
      <c r="AE46" s="203" t="e">
        <f>[1]!'AI[42].isCut'</f>
        <v>#REF!</v>
      </c>
      <c r="AF46" s="207" t="e">
        <f>[1]!'AI[42].vCut'</f>
        <v>#REF!</v>
      </c>
      <c r="AG46" s="208"/>
      <c r="AH46" s="207">
        <f>[1]!'AI[42].break.sgn'</f>
        <v>1</v>
      </c>
      <c r="AI46" s="208"/>
      <c r="AJ46" s="207">
        <f>[1]!'AI[42].ZL'</f>
        <v>0</v>
      </c>
      <c r="AK46" s="207">
        <f>[1]!'AI[42].ZH'</f>
        <v>300</v>
      </c>
      <c r="AL46" s="208"/>
      <c r="AM46" s="203">
        <f>[1]!'AI[42].RL.EN'</f>
        <v>1</v>
      </c>
      <c r="AN46" s="207">
        <f>[1]!'AI[42].RL.V'</f>
        <v>125</v>
      </c>
      <c r="AO46" s="207">
        <f>[1]!'AI[42].RL.fix'</f>
        <v>0</v>
      </c>
      <c r="AP46" s="208"/>
      <c r="AQ46" s="203">
        <f>[1]!'AI[42].RH.EN'</f>
        <v>1</v>
      </c>
      <c r="AR46" s="207">
        <f>[1]!'AI[42].RH.V'</f>
        <v>210</v>
      </c>
      <c r="AS46" s="207">
        <f>[1]!'AI[42].RH.fix'</f>
        <v>0</v>
      </c>
      <c r="AT46" s="208"/>
      <c r="AU46" s="203">
        <f>[1]!'AI[42].L.EN'</f>
        <v>0</v>
      </c>
      <c r="AV46" s="207">
        <f>[1]!'AI[42].L.V'</f>
        <v>0</v>
      </c>
      <c r="AW46" s="207">
        <f>[1]!'AI[42].L.fix'</f>
        <v>0</v>
      </c>
      <c r="AX46" s="208"/>
      <c r="AY46" s="203">
        <f>[1]!'AI[42].H.EN'</f>
        <v>0</v>
      </c>
      <c r="AZ46" s="207">
        <f>[1]!'AI[42].H.V'</f>
        <v>0</v>
      </c>
      <c r="BA46" s="207">
        <f>[1]!'AI[42].H.fix'</f>
        <v>0</v>
      </c>
      <c r="BB46" s="208"/>
      <c r="BC46" s="203">
        <f>[1]!'AI[42].LL.EN'</f>
        <v>0</v>
      </c>
      <c r="BD46" s="207">
        <f>[1]!'AI[42].LL.V'</f>
        <v>0</v>
      </c>
      <c r="BE46" s="207">
        <f>[1]!'AI[42].LL.fix'</f>
        <v>0</v>
      </c>
      <c r="BF46" s="208"/>
      <c r="BG46" s="203">
        <f>[1]!'AI[42].HH.EN'</f>
        <v>0</v>
      </c>
      <c r="BH46" s="207">
        <f>[1]!'AI[42].HH.V'</f>
        <v>0</v>
      </c>
      <c r="BI46" s="207">
        <f>[1]!'AI[42].HH.fix'</f>
        <v>0</v>
      </c>
      <c r="BJ46" s="210"/>
      <c r="BK46" s="207">
        <f>[1]!'AI[42].group'</f>
        <v>1</v>
      </c>
      <c r="BL46" s="207">
        <f>[1]!'AI[42].state'</f>
        <v>4</v>
      </c>
      <c r="BM46" s="207">
        <f>[1]!'AI[42].isInvScale'</f>
        <v>0</v>
      </c>
    </row>
    <row r="47" spans="1:65">
      <c r="A47" s="445"/>
      <c r="B47" s="446"/>
      <c r="C47" s="221">
        <v>11</v>
      </c>
      <c r="D47" s="221">
        <v>11</v>
      </c>
      <c r="E47" s="222" t="s">
        <v>388</v>
      </c>
      <c r="F47" s="222" t="s">
        <v>389</v>
      </c>
      <c r="G47" s="207">
        <f>[1]!'AI[43].ZL'</f>
        <v>0</v>
      </c>
      <c r="H47" s="207">
        <f>[1]!'AI[43].ZH'</f>
        <v>100</v>
      </c>
      <c r="I47" s="221" t="s">
        <v>366</v>
      </c>
      <c r="J47" s="207">
        <f>[1]!'AI[43].RL.V'</f>
        <v>0</v>
      </c>
      <c r="K47" s="207">
        <f>[1]!'AI[43].RH.V'</f>
        <v>0</v>
      </c>
      <c r="L47" s="207">
        <f>[1]!'AI[43].L.V'</f>
        <v>0</v>
      </c>
      <c r="M47" s="207">
        <f>[1]!'AI[43].H.V'</f>
        <v>0</v>
      </c>
      <c r="N47" s="207">
        <f>[1]!'AI[43].LL.V'</f>
        <v>0</v>
      </c>
      <c r="O47" s="207">
        <f>[1]!'AI[43].HH.V'</f>
        <v>0</v>
      </c>
      <c r="P47" s="223">
        <v>4</v>
      </c>
      <c r="Q47" s="224">
        <v>3</v>
      </c>
      <c r="R47" s="184"/>
      <c r="S47" s="229"/>
      <c r="T47" s="207">
        <f>[1]!'AI[43].group'</f>
        <v>1</v>
      </c>
      <c r="U47" s="229"/>
      <c r="V47" s="229"/>
      <c r="X47" s="203">
        <f>[1]!'AI[43].EN'</f>
        <v>1</v>
      </c>
      <c r="Y47" s="207">
        <f>[1]!'AI[43].i'</f>
        <v>1.8844599999999999E-3</v>
      </c>
      <c r="Z47" s="207">
        <f>[1]!'AI[43].isForce'</f>
        <v>0</v>
      </c>
      <c r="AA47" s="207" t="e">
        <f>[1]!'AI[43].vRaw'</f>
        <v>#REF!</v>
      </c>
      <c r="AB47" s="203">
        <f>[1]!'AI[43].isCorrect'</f>
        <v>0</v>
      </c>
      <c r="AC47" s="207" t="e">
        <f>[1]!'AI[43].vCorrect'</f>
        <v>#REF!</v>
      </c>
      <c r="AD47" s="207">
        <f>[1]!'AI[43].v'</f>
        <v>0</v>
      </c>
      <c r="AE47" s="203" t="e">
        <f>[1]!'AI[43].isCut'</f>
        <v>#REF!</v>
      </c>
      <c r="AF47" s="207" t="e">
        <f>[1]!'AI[43].vCut'</f>
        <v>#REF!</v>
      </c>
      <c r="AG47" s="208"/>
      <c r="AH47" s="207">
        <f>[1]!'AI[43].break.sgn'</f>
        <v>1</v>
      </c>
      <c r="AI47" s="208"/>
      <c r="AJ47" s="207">
        <f>[1]!'AI[43].ZL'</f>
        <v>0</v>
      </c>
      <c r="AK47" s="207">
        <f>[1]!'AI[43].ZH'</f>
        <v>100</v>
      </c>
      <c r="AL47" s="208"/>
      <c r="AM47" s="203">
        <f>[1]!'AI[43].RL.EN'</f>
        <v>1</v>
      </c>
      <c r="AN47" s="207">
        <f>[1]!'AI[43].RL.V'</f>
        <v>0</v>
      </c>
      <c r="AO47" s="207">
        <f>[1]!'AI[43].RL.fix'</f>
        <v>0</v>
      </c>
      <c r="AP47" s="208"/>
      <c r="AQ47" s="203">
        <f>[1]!'AI[43].RH.EN'</f>
        <v>0</v>
      </c>
      <c r="AR47" s="207">
        <f>[1]!'AI[43].RH.V'</f>
        <v>0</v>
      </c>
      <c r="AS47" s="207">
        <f>[1]!'AI[43].RH.fix'</f>
        <v>0</v>
      </c>
      <c r="AT47" s="208"/>
      <c r="AU47" s="203">
        <f>[1]!'AI[43].L.EN'</f>
        <v>0</v>
      </c>
      <c r="AV47" s="207">
        <f>[1]!'AI[43].L.V'</f>
        <v>0</v>
      </c>
      <c r="AW47" s="207">
        <f>[1]!'AI[43].L.fix'</f>
        <v>0</v>
      </c>
      <c r="AX47" s="208"/>
      <c r="AY47" s="203">
        <f>[1]!'AI[43].H.EN'</f>
        <v>0</v>
      </c>
      <c r="AZ47" s="207">
        <f>[1]!'AI[43].H.V'</f>
        <v>0</v>
      </c>
      <c r="BA47" s="207">
        <f>[1]!'AI[43].H.fix'</f>
        <v>0</v>
      </c>
      <c r="BB47" s="208"/>
      <c r="BC47" s="203">
        <f>[1]!'AI[43].LL.EN'</f>
        <v>0</v>
      </c>
      <c r="BD47" s="207">
        <f>[1]!'AI[43].LL.V'</f>
        <v>0</v>
      </c>
      <c r="BE47" s="207">
        <f>[1]!'AI[43].LL.fix'</f>
        <v>0</v>
      </c>
      <c r="BF47" s="208"/>
      <c r="BG47" s="203">
        <f>[1]!'AI[43].HH.EN'</f>
        <v>0</v>
      </c>
      <c r="BH47" s="207">
        <f>[1]!'AI[43].HH.V'</f>
        <v>0</v>
      </c>
      <c r="BI47" s="207">
        <f>[1]!'AI[43].HH.fix'</f>
        <v>0</v>
      </c>
      <c r="BJ47" s="210"/>
      <c r="BK47" s="207">
        <f>[1]!'AI[43].group'</f>
        <v>1</v>
      </c>
      <c r="BL47" s="207">
        <f>[1]!'AI[43].state'</f>
        <v>4</v>
      </c>
      <c r="BM47" s="207">
        <f>[1]!'AI[43].isInvScale'</f>
        <v>0</v>
      </c>
    </row>
    <row r="48" spans="1:65">
      <c r="A48" s="445"/>
      <c r="B48" s="446"/>
      <c r="C48" s="221">
        <v>12</v>
      </c>
      <c r="D48" s="221">
        <v>12</v>
      </c>
      <c r="E48" s="222" t="s">
        <v>390</v>
      </c>
      <c r="F48" s="222" t="s">
        <v>391</v>
      </c>
      <c r="G48" s="207">
        <f>[1]!'AI[44].ZL'</f>
        <v>0</v>
      </c>
      <c r="H48" s="207">
        <f>[1]!'AI[44].ZH'</f>
        <v>0</v>
      </c>
      <c r="I48" s="221" t="s">
        <v>366</v>
      </c>
      <c r="J48" s="207">
        <f>[1]!'AI[44].RL.V'</f>
        <v>0</v>
      </c>
      <c r="K48" s="207">
        <f>[1]!'AI[44].RH.V'</f>
        <v>0</v>
      </c>
      <c r="L48" s="207">
        <f>[1]!'AI[44].L.V'</f>
        <v>0</v>
      </c>
      <c r="M48" s="207">
        <f>[1]!'AI[44].H.V'</f>
        <v>0</v>
      </c>
      <c r="N48" s="207">
        <f>[1]!'AI[44].LL.V'</f>
        <v>0</v>
      </c>
      <c r="O48" s="207">
        <f>[1]!'AI[44].HH.V'</f>
        <v>0</v>
      </c>
      <c r="P48" s="223">
        <v>4</v>
      </c>
      <c r="Q48" s="224">
        <v>3</v>
      </c>
      <c r="R48" s="184"/>
      <c r="S48" s="229"/>
      <c r="T48" s="207">
        <f>[1]!'AI[44].group'</f>
        <v>3</v>
      </c>
      <c r="U48" s="229"/>
      <c r="V48" s="229"/>
      <c r="X48" s="203">
        <f>[1]!'AI[44].EN'</f>
        <v>0</v>
      </c>
      <c r="Y48" s="207">
        <f>[1]!'AI[44].i'</f>
        <v>0</v>
      </c>
      <c r="Z48" s="207">
        <f>[1]!'AI[44].isForce'</f>
        <v>0</v>
      </c>
      <c r="AA48" s="207" t="e">
        <f>[1]!'AI[44].vRaw'</f>
        <v>#REF!</v>
      </c>
      <c r="AB48" s="203">
        <f>[1]!'AI[44].isCorrect'</f>
        <v>0</v>
      </c>
      <c r="AC48" s="207" t="e">
        <f>[1]!'AI[44].vCorrect'</f>
        <v>#REF!</v>
      </c>
      <c r="AD48" s="207">
        <f>[1]!'AI[44].v'</f>
        <v>0</v>
      </c>
      <c r="AE48" s="203" t="e">
        <f>[1]!'AI[44].isCut'</f>
        <v>#REF!</v>
      </c>
      <c r="AF48" s="207" t="e">
        <f>[1]!'AI[44].vCut'</f>
        <v>#REF!</v>
      </c>
      <c r="AG48" s="208"/>
      <c r="AH48" s="207">
        <f>[1]!'AI[44].break.sgn'</f>
        <v>0</v>
      </c>
      <c r="AI48" s="208"/>
      <c r="AJ48" s="207">
        <f>[1]!'AI[44].ZL'</f>
        <v>0</v>
      </c>
      <c r="AK48" s="207">
        <f>[1]!'AI[44].ZH'</f>
        <v>0</v>
      </c>
      <c r="AL48" s="208"/>
      <c r="AM48" s="203">
        <f>[1]!'AI[44].RL.EN'</f>
        <v>0</v>
      </c>
      <c r="AN48" s="207">
        <f>[1]!'AI[44].RL.V'</f>
        <v>0</v>
      </c>
      <c r="AO48" s="207">
        <f>[1]!'AI[44].RL.fix'</f>
        <v>1</v>
      </c>
      <c r="AP48" s="208"/>
      <c r="AQ48" s="203">
        <f>[1]!'AI[44].RH.EN'</f>
        <v>0</v>
      </c>
      <c r="AR48" s="207">
        <f>[1]!'AI[44].RH.V'</f>
        <v>0</v>
      </c>
      <c r="AS48" s="207">
        <f>[1]!'AI[44].RH.fix'</f>
        <v>0</v>
      </c>
      <c r="AT48" s="208"/>
      <c r="AU48" s="203">
        <f>[1]!'AI[44].L.EN'</f>
        <v>0</v>
      </c>
      <c r="AV48" s="207">
        <f>[1]!'AI[44].L.V'</f>
        <v>0</v>
      </c>
      <c r="AW48" s="207">
        <f>[1]!'AI[44].L.fix'</f>
        <v>0</v>
      </c>
      <c r="AX48" s="208"/>
      <c r="AY48" s="203">
        <f>[1]!'AI[44].H.EN'</f>
        <v>0</v>
      </c>
      <c r="AZ48" s="207">
        <f>[1]!'AI[44].H.V'</f>
        <v>0</v>
      </c>
      <c r="BA48" s="207">
        <f>[1]!'AI[44].H.fix'</f>
        <v>0</v>
      </c>
      <c r="BB48" s="208"/>
      <c r="BC48" s="203">
        <f>[1]!'AI[44].LL.EN'</f>
        <v>0</v>
      </c>
      <c r="BD48" s="207">
        <f>[1]!'AI[44].LL.V'</f>
        <v>0</v>
      </c>
      <c r="BE48" s="207">
        <f>[1]!'AI[44].LL.fix'</f>
        <v>0</v>
      </c>
      <c r="BF48" s="208"/>
      <c r="BG48" s="203">
        <f>[1]!'AI[44].HH.EN'</f>
        <v>0</v>
      </c>
      <c r="BH48" s="207">
        <f>[1]!'AI[44].HH.V'</f>
        <v>0</v>
      </c>
      <c r="BI48" s="207">
        <f>[1]!'AI[44].HH.fix'</f>
        <v>0</v>
      </c>
      <c r="BJ48" s="210"/>
      <c r="BK48" s="207">
        <f>[1]!'AI[44].group'</f>
        <v>3</v>
      </c>
      <c r="BL48" s="207">
        <f>[1]!'AI[44].state'</f>
        <v>4</v>
      </c>
      <c r="BM48" s="207">
        <f>[1]!'AI[44].isInvScale'</f>
        <v>0</v>
      </c>
    </row>
    <row r="49" spans="1:65">
      <c r="A49" s="445"/>
      <c r="B49" s="446"/>
      <c r="C49" s="221">
        <v>13</v>
      </c>
      <c r="D49" s="221">
        <v>13</v>
      </c>
      <c r="E49" s="222" t="s">
        <v>392</v>
      </c>
      <c r="F49" s="222" t="s">
        <v>393</v>
      </c>
      <c r="G49" s="207">
        <f>[1]!'AI[45].ZL'</f>
        <v>0</v>
      </c>
      <c r="H49" s="207">
        <f>[1]!'AI[45].ZH'</f>
        <v>0</v>
      </c>
      <c r="I49" s="221" t="s">
        <v>366</v>
      </c>
      <c r="J49" s="207">
        <f>[1]!'AI[45].RL.V'</f>
        <v>0</v>
      </c>
      <c r="K49" s="207">
        <f>[1]!'AI[45].RH.V'</f>
        <v>0</v>
      </c>
      <c r="L49" s="207">
        <f>[1]!'AI[45].L.V'</f>
        <v>0</v>
      </c>
      <c r="M49" s="207">
        <f>[1]!'AI[45].H.V'</f>
        <v>0</v>
      </c>
      <c r="N49" s="207">
        <f>[1]!'AI[45].LL.V'</f>
        <v>0</v>
      </c>
      <c r="O49" s="207">
        <f>[1]!'AI[45].HH.V'</f>
        <v>0</v>
      </c>
      <c r="P49" s="223">
        <v>4</v>
      </c>
      <c r="Q49" s="224">
        <v>3</v>
      </c>
      <c r="R49" s="184"/>
      <c r="S49" s="229"/>
      <c r="T49" s="207">
        <f>[1]!'AI[45].group'</f>
        <v>3</v>
      </c>
      <c r="U49" s="229"/>
      <c r="V49" s="229"/>
      <c r="X49" s="203">
        <f>[1]!'AI[45].EN'</f>
        <v>0</v>
      </c>
      <c r="Y49" s="207">
        <f>[1]!'AI[45].i'</f>
        <v>0</v>
      </c>
      <c r="Z49" s="207">
        <f>[1]!'AI[45].isForce'</f>
        <v>0</v>
      </c>
      <c r="AA49" s="207" t="e">
        <f>[1]!'AI[45].vRaw'</f>
        <v>#REF!</v>
      </c>
      <c r="AB49" s="203">
        <f>[1]!'AI[45].isCorrect'</f>
        <v>0</v>
      </c>
      <c r="AC49" s="207" t="e">
        <f>[1]!'AI[45].vCorrect'</f>
        <v>#REF!</v>
      </c>
      <c r="AD49" s="207">
        <f>[1]!'AI[45].v'</f>
        <v>0</v>
      </c>
      <c r="AE49" s="203" t="e">
        <f>[1]!'AI[45].isCut'</f>
        <v>#REF!</v>
      </c>
      <c r="AF49" s="207" t="e">
        <f>[1]!'AI[45].vCut'</f>
        <v>#REF!</v>
      </c>
      <c r="AG49" s="208"/>
      <c r="AH49" s="207">
        <f>[1]!'AI[45].break.sgn'</f>
        <v>0</v>
      </c>
      <c r="AI49" s="208"/>
      <c r="AJ49" s="207">
        <f>[1]!'AI[45].ZL'</f>
        <v>0</v>
      </c>
      <c r="AK49" s="207">
        <f>[1]!'AI[45].ZH'</f>
        <v>0</v>
      </c>
      <c r="AL49" s="208"/>
      <c r="AM49" s="203">
        <f>[1]!'AI[45].RL.EN'</f>
        <v>0</v>
      </c>
      <c r="AN49" s="207">
        <f>[1]!'AI[45].RL.V'</f>
        <v>0</v>
      </c>
      <c r="AO49" s="207">
        <f>[1]!'AI[45].RL.fix'</f>
        <v>1</v>
      </c>
      <c r="AP49" s="208"/>
      <c r="AQ49" s="203">
        <f>[1]!'AI[45].RH.EN'</f>
        <v>0</v>
      </c>
      <c r="AR49" s="207">
        <f>[1]!'AI[45].RH.V'</f>
        <v>0</v>
      </c>
      <c r="AS49" s="207">
        <f>[1]!'AI[45].RH.fix'</f>
        <v>0</v>
      </c>
      <c r="AT49" s="208"/>
      <c r="AU49" s="203">
        <f>[1]!'AI[45].L.EN'</f>
        <v>0</v>
      </c>
      <c r="AV49" s="207">
        <f>[1]!'AI[45].L.V'</f>
        <v>0</v>
      </c>
      <c r="AW49" s="207">
        <f>[1]!'AI[45].L.fix'</f>
        <v>0</v>
      </c>
      <c r="AX49" s="208"/>
      <c r="AY49" s="203">
        <f>[1]!'AI[45].H.EN'</f>
        <v>0</v>
      </c>
      <c r="AZ49" s="207">
        <f>[1]!'AI[45].H.V'</f>
        <v>0</v>
      </c>
      <c r="BA49" s="207">
        <f>[1]!'AI[45].H.fix'</f>
        <v>0</v>
      </c>
      <c r="BB49" s="208"/>
      <c r="BC49" s="203">
        <f>[1]!'AI[45].LL.EN'</f>
        <v>0</v>
      </c>
      <c r="BD49" s="207">
        <f>[1]!'AI[45].LL.V'</f>
        <v>0</v>
      </c>
      <c r="BE49" s="207">
        <f>[1]!'AI[45].LL.fix'</f>
        <v>0</v>
      </c>
      <c r="BF49" s="208"/>
      <c r="BG49" s="203">
        <f>[1]!'AI[45].HH.EN'</f>
        <v>0</v>
      </c>
      <c r="BH49" s="207">
        <f>[1]!'AI[45].HH.V'</f>
        <v>0</v>
      </c>
      <c r="BI49" s="207">
        <f>[1]!'AI[45].HH.fix'</f>
        <v>0</v>
      </c>
      <c r="BJ49" s="210"/>
      <c r="BK49" s="207">
        <f>[1]!'AI[45].group'</f>
        <v>3</v>
      </c>
      <c r="BL49" s="207">
        <f>[1]!'AI[45].state'</f>
        <v>4</v>
      </c>
      <c r="BM49" s="207">
        <f>[1]!'AI[45].isInvScale'</f>
        <v>0</v>
      </c>
    </row>
    <row r="50" spans="1:65">
      <c r="A50" s="445"/>
      <c r="B50" s="446"/>
      <c r="C50" s="221">
        <v>14</v>
      </c>
      <c r="D50" s="221">
        <v>14</v>
      </c>
      <c r="E50" s="222" t="s">
        <v>394</v>
      </c>
      <c r="F50" s="222" t="s">
        <v>395</v>
      </c>
      <c r="G50" s="207">
        <f>[1]!'AI[46].ZL'</f>
        <v>0</v>
      </c>
      <c r="H50" s="207">
        <f>[1]!'AI[46].ZH'</f>
        <v>0</v>
      </c>
      <c r="I50" s="221" t="s">
        <v>366</v>
      </c>
      <c r="J50" s="207">
        <f>[1]!'AI[46].RL.V'</f>
        <v>0</v>
      </c>
      <c r="K50" s="207">
        <f>[1]!'AI[46].RH.V'</f>
        <v>0</v>
      </c>
      <c r="L50" s="207">
        <f>[1]!'AI[46].L.V'</f>
        <v>0</v>
      </c>
      <c r="M50" s="207">
        <f>[1]!'AI[46].H.V'</f>
        <v>0</v>
      </c>
      <c r="N50" s="207">
        <f>[1]!'AI[46].LL.V'</f>
        <v>0</v>
      </c>
      <c r="O50" s="207">
        <f>[1]!'AI[46].HH.V'</f>
        <v>0</v>
      </c>
      <c r="P50" s="223">
        <v>4</v>
      </c>
      <c r="Q50" s="224">
        <v>3</v>
      </c>
      <c r="R50" s="184"/>
      <c r="S50" s="230"/>
      <c r="T50" s="207">
        <f>[1]!'AI[46].group'</f>
        <v>3</v>
      </c>
      <c r="U50" s="230">
        <v>1</v>
      </c>
      <c r="V50" s="230"/>
      <c r="X50" s="203">
        <f>[1]!'AI[46].EN'</f>
        <v>0</v>
      </c>
      <c r="Y50" s="207">
        <f>[1]!'AI[46].i'</f>
        <v>0</v>
      </c>
      <c r="Z50" s="207">
        <f>[1]!'AI[46].isForce'</f>
        <v>0</v>
      </c>
      <c r="AA50" s="207" t="e">
        <f>[1]!'AI[46].vRaw'</f>
        <v>#REF!</v>
      </c>
      <c r="AB50" s="203">
        <f>[1]!'AI[46].isCorrect'</f>
        <v>0</v>
      </c>
      <c r="AC50" s="207" t="e">
        <f>[1]!'AI[46].vCorrect'</f>
        <v>#REF!</v>
      </c>
      <c r="AD50" s="207">
        <f>[1]!'AI[46].v'</f>
        <v>0</v>
      </c>
      <c r="AE50" s="203" t="e">
        <f>[1]!'AI[46].isCut'</f>
        <v>#REF!</v>
      </c>
      <c r="AF50" s="207" t="e">
        <f>[1]!'AI[46].vCut'</f>
        <v>#REF!</v>
      </c>
      <c r="AG50" s="208"/>
      <c r="AH50" s="207">
        <f>[1]!'AI[46].break.sgn'</f>
        <v>0</v>
      </c>
      <c r="AI50" s="208"/>
      <c r="AJ50" s="207">
        <f>[1]!'AI[46].ZL'</f>
        <v>0</v>
      </c>
      <c r="AK50" s="207">
        <f>[1]!'AI[46].ZH'</f>
        <v>0</v>
      </c>
      <c r="AL50" s="208"/>
      <c r="AM50" s="203">
        <f>[1]!'AI[46].RL.EN'</f>
        <v>0</v>
      </c>
      <c r="AN50" s="207">
        <f>[1]!'AI[46].RL.V'</f>
        <v>0</v>
      </c>
      <c r="AO50" s="207">
        <f>[1]!'AI[46].RL.fix'</f>
        <v>1</v>
      </c>
      <c r="AP50" s="208"/>
      <c r="AQ50" s="203">
        <f>[1]!'AI[46].RH.EN'</f>
        <v>0</v>
      </c>
      <c r="AR50" s="207">
        <f>[1]!'AI[46].RH.V'</f>
        <v>0</v>
      </c>
      <c r="AS50" s="207">
        <f>[1]!'AI[46].RH.fix'</f>
        <v>0</v>
      </c>
      <c r="AT50" s="208"/>
      <c r="AU50" s="203">
        <f>[1]!'AI[46].L.EN'</f>
        <v>0</v>
      </c>
      <c r="AV50" s="207">
        <f>[1]!'AI[46].L.V'</f>
        <v>0</v>
      </c>
      <c r="AW50" s="207">
        <f>[1]!'AI[46].L.fix'</f>
        <v>0</v>
      </c>
      <c r="AX50" s="208"/>
      <c r="AY50" s="203">
        <f>[1]!'AI[46].H.EN'</f>
        <v>0</v>
      </c>
      <c r="AZ50" s="207">
        <f>[1]!'AI[46].H.V'</f>
        <v>0</v>
      </c>
      <c r="BA50" s="207">
        <f>[1]!'AI[46].H.fix'</f>
        <v>0</v>
      </c>
      <c r="BB50" s="208"/>
      <c r="BC50" s="203">
        <f>[1]!'AI[46].LL.EN'</f>
        <v>0</v>
      </c>
      <c r="BD50" s="207">
        <f>[1]!'AI[46].LL.V'</f>
        <v>0</v>
      </c>
      <c r="BE50" s="207">
        <f>[1]!'AI[46].LL.fix'</f>
        <v>0</v>
      </c>
      <c r="BF50" s="208"/>
      <c r="BG50" s="203">
        <f>[1]!'AI[46].HH.EN'</f>
        <v>0</v>
      </c>
      <c r="BH50" s="207">
        <f>[1]!'AI[46].HH.V'</f>
        <v>0</v>
      </c>
      <c r="BI50" s="207">
        <f>[1]!'AI[46].HH.fix'</f>
        <v>0</v>
      </c>
      <c r="BJ50" s="210"/>
      <c r="BK50" s="207">
        <f>[1]!'AI[46].group'</f>
        <v>3</v>
      </c>
      <c r="BL50" s="207">
        <f>[1]!'AI[46].state'</f>
        <v>4</v>
      </c>
      <c r="BM50" s="207">
        <f>[1]!'AI[46].isInvScale'</f>
        <v>0</v>
      </c>
    </row>
    <row r="51" spans="1:65" ht="15.75" thickBot="1">
      <c r="A51" s="445"/>
      <c r="B51" s="446"/>
      <c r="C51" s="225">
        <v>15</v>
      </c>
      <c r="D51" s="225">
        <v>15</v>
      </c>
      <c r="E51" s="226" t="s">
        <v>396</v>
      </c>
      <c r="F51" s="226" t="s">
        <v>397</v>
      </c>
      <c r="G51" s="207">
        <f>[1]!'AI[47].ZL'</f>
        <v>0</v>
      </c>
      <c r="H51" s="207">
        <f>[1]!'AI[47].ZH'</f>
        <v>0</v>
      </c>
      <c r="I51" s="225" t="s">
        <v>366</v>
      </c>
      <c r="J51" s="207">
        <f>[1]!'AI[47].RL.V'</f>
        <v>0</v>
      </c>
      <c r="K51" s="207">
        <f>[1]!'AI[47].RH.V'</f>
        <v>0</v>
      </c>
      <c r="L51" s="207">
        <f>[1]!'AI[47].L.V'</f>
        <v>0</v>
      </c>
      <c r="M51" s="207">
        <f>[1]!'AI[47].H.V'</f>
        <v>0</v>
      </c>
      <c r="N51" s="207">
        <f>[1]!'AI[47].LL.V'</f>
        <v>0</v>
      </c>
      <c r="O51" s="207">
        <f>[1]!'AI[47].HH.V'</f>
        <v>0</v>
      </c>
      <c r="P51" s="227">
        <v>4</v>
      </c>
      <c r="Q51" s="228">
        <v>3</v>
      </c>
      <c r="R51" s="190"/>
      <c r="S51" s="229"/>
      <c r="T51" s="207">
        <f>[1]!'AI[47].group'</f>
        <v>3</v>
      </c>
      <c r="U51" s="229">
        <v>1</v>
      </c>
      <c r="V51" s="229"/>
      <c r="X51" s="203">
        <f>[1]!'AI[47].EN'</f>
        <v>0</v>
      </c>
      <c r="Y51" s="207">
        <f>[1]!'AI[47].i'</f>
        <v>0</v>
      </c>
      <c r="Z51" s="207">
        <f>[1]!'AI[47].isForce'</f>
        <v>0</v>
      </c>
      <c r="AA51" s="207" t="e">
        <f>[1]!'AI[47].vRaw'</f>
        <v>#REF!</v>
      </c>
      <c r="AB51" s="203">
        <f>[1]!'AI[47].isCorrect'</f>
        <v>0</v>
      </c>
      <c r="AC51" s="207" t="e">
        <f>[1]!'AI[47].vCorrect'</f>
        <v>#REF!</v>
      </c>
      <c r="AD51" s="207">
        <f>[1]!'AI[47].v'</f>
        <v>0</v>
      </c>
      <c r="AE51" s="203" t="e">
        <f>[1]!'AI[47].isCut'</f>
        <v>#REF!</v>
      </c>
      <c r="AF51" s="207" t="e">
        <f>[1]!'AI[47].vCut'</f>
        <v>#REF!</v>
      </c>
      <c r="AG51" s="208"/>
      <c r="AH51" s="207">
        <f>[1]!'AI[47].break.sgn'</f>
        <v>0</v>
      </c>
      <c r="AI51" s="208"/>
      <c r="AJ51" s="207">
        <f>[1]!'AI[47].ZL'</f>
        <v>0</v>
      </c>
      <c r="AK51" s="207">
        <f>[1]!'AI[47].ZH'</f>
        <v>0</v>
      </c>
      <c r="AL51" s="208"/>
      <c r="AM51" s="203">
        <f>[1]!'AI[47].RL.EN'</f>
        <v>0</v>
      </c>
      <c r="AN51" s="207">
        <f>[1]!'AI[47].RL.V'</f>
        <v>0</v>
      </c>
      <c r="AO51" s="207">
        <f>[1]!'AI[47].RL.fix'</f>
        <v>1</v>
      </c>
      <c r="AP51" s="208"/>
      <c r="AQ51" s="203">
        <f>[1]!'AI[47].RH.EN'</f>
        <v>0</v>
      </c>
      <c r="AR51" s="207">
        <f>[1]!'AI[47].RH.V'</f>
        <v>0</v>
      </c>
      <c r="AS51" s="207">
        <f>[1]!'AI[47].RH.fix'</f>
        <v>0</v>
      </c>
      <c r="AT51" s="208"/>
      <c r="AU51" s="203">
        <f>[1]!'AI[47].L.EN'</f>
        <v>0</v>
      </c>
      <c r="AV51" s="207">
        <f>[1]!'AI[47].L.V'</f>
        <v>0</v>
      </c>
      <c r="AW51" s="207">
        <f>[1]!'AI[47].L.fix'</f>
        <v>0</v>
      </c>
      <c r="AX51" s="208"/>
      <c r="AY51" s="203">
        <f>[1]!'AI[47].H.EN'</f>
        <v>0</v>
      </c>
      <c r="AZ51" s="207">
        <f>[1]!'AI[47].H.V'</f>
        <v>0</v>
      </c>
      <c r="BA51" s="207">
        <f>[1]!'AI[47].H.fix'</f>
        <v>0</v>
      </c>
      <c r="BB51" s="208"/>
      <c r="BC51" s="203">
        <f>[1]!'AI[47].LL.EN'</f>
        <v>0</v>
      </c>
      <c r="BD51" s="207">
        <f>[1]!'AI[47].LL.V'</f>
        <v>0</v>
      </c>
      <c r="BE51" s="207">
        <f>[1]!'AI[47].LL.fix'</f>
        <v>0</v>
      </c>
      <c r="BF51" s="208"/>
      <c r="BG51" s="203">
        <f>[1]!'AI[47].HH.EN'</f>
        <v>0</v>
      </c>
      <c r="BH51" s="207">
        <f>[1]!'AI[47].HH.V'</f>
        <v>0</v>
      </c>
      <c r="BI51" s="207">
        <f>[1]!'AI[47].HH.fix'</f>
        <v>0</v>
      </c>
      <c r="BJ51" s="210"/>
      <c r="BK51" s="207">
        <f>[1]!'AI[47].group'</f>
        <v>3</v>
      </c>
      <c r="BL51" s="207">
        <f>[1]!'AI[47].state'</f>
        <v>4</v>
      </c>
      <c r="BM51" s="207">
        <f>[1]!'AI[47].isInvScale'</f>
        <v>0</v>
      </c>
    </row>
    <row r="52" spans="1:65" ht="15" customHeight="1">
      <c r="A52" s="445" t="s">
        <v>36</v>
      </c>
      <c r="B52" s="446">
        <v>3</v>
      </c>
      <c r="C52" s="216">
        <v>0</v>
      </c>
      <c r="D52" s="216">
        <v>0</v>
      </c>
      <c r="E52" s="217" t="s">
        <v>364</v>
      </c>
      <c r="F52" s="217" t="s">
        <v>365</v>
      </c>
      <c r="G52" s="207">
        <f>[1]!'AI[48].ZL'</f>
        <v>0</v>
      </c>
      <c r="H52" s="207">
        <f>[1]!'AI[48].ZH'</f>
        <v>100</v>
      </c>
      <c r="I52" s="216" t="s">
        <v>366</v>
      </c>
      <c r="J52" s="207">
        <f>[1]!'AI[48].RL.V'</f>
        <v>30</v>
      </c>
      <c r="K52" s="207">
        <f>[1]!'AI[48].RH.V'</f>
        <v>50</v>
      </c>
      <c r="L52" s="207">
        <f>[1]!'AI[48].L.V'</f>
        <v>0</v>
      </c>
      <c r="M52" s="207">
        <f>[1]!'AI[48].H.V'</f>
        <v>0</v>
      </c>
      <c r="N52" s="207">
        <f>[1]!'AI[48].LL.V'</f>
        <v>0</v>
      </c>
      <c r="O52" s="207">
        <f>[1]!'AI[48].HH.V'</f>
        <v>0</v>
      </c>
      <c r="P52" s="218">
        <v>1</v>
      </c>
      <c r="Q52" s="219">
        <v>0</v>
      </c>
      <c r="R52" s="220"/>
      <c r="T52" s="207">
        <f>[1]!'AI[48].group'</f>
        <v>2</v>
      </c>
      <c r="X52" s="203">
        <f>[1]!'AI[48].EN'</f>
        <v>1</v>
      </c>
      <c r="Y52" s="207">
        <f>[1]!'AI[48].i'</f>
        <v>4.397392E-3</v>
      </c>
      <c r="Z52" s="207">
        <f>[1]!'AI[48].isForce'</f>
        <v>0</v>
      </c>
      <c r="AA52" s="207" t="e">
        <f>[1]!'AI[48].vRaw'</f>
        <v>#REF!</v>
      </c>
      <c r="AB52" s="203">
        <f>[1]!'AI[48].isCorrect'</f>
        <v>0</v>
      </c>
      <c r="AC52" s="207" t="e">
        <f>[1]!'AI[48].vCorrect'</f>
        <v>#REF!</v>
      </c>
      <c r="AD52" s="207">
        <f>[1]!'AI[48].v'</f>
        <v>0</v>
      </c>
      <c r="AE52" s="203" t="e">
        <f>[1]!'AI[48].isCut'</f>
        <v>#REF!</v>
      </c>
      <c r="AF52" s="207" t="e">
        <f>[1]!'AI[48].vCut'</f>
        <v>#REF!</v>
      </c>
      <c r="AG52" s="208"/>
      <c r="AH52" s="207">
        <f>[1]!'AI[48].break.sgn'</f>
        <v>1</v>
      </c>
      <c r="AI52" s="208"/>
      <c r="AJ52" s="207">
        <f>[1]!'AI[48].ZL'</f>
        <v>0</v>
      </c>
      <c r="AK52" s="207">
        <f>[1]!'AI[48].ZH'</f>
        <v>100</v>
      </c>
      <c r="AL52" s="208"/>
      <c r="AM52" s="203">
        <f>[1]!'AI[48].RL.EN'</f>
        <v>1</v>
      </c>
      <c r="AN52" s="207">
        <f>[1]!'AI[48].RL.V'</f>
        <v>30</v>
      </c>
      <c r="AO52" s="207">
        <f>[1]!'AI[48].RL.fix'</f>
        <v>0</v>
      </c>
      <c r="AP52" s="208"/>
      <c r="AQ52" s="203">
        <f>[1]!'AI[48].RH.EN'</f>
        <v>1</v>
      </c>
      <c r="AR52" s="207">
        <f>[1]!'AI[48].RH.V'</f>
        <v>50</v>
      </c>
      <c r="AS52" s="207">
        <f>[1]!'AI[48].RH.fix'</f>
        <v>0</v>
      </c>
      <c r="AT52" s="208"/>
      <c r="AU52" s="203">
        <f>[1]!'AI[48].L.EN'</f>
        <v>0</v>
      </c>
      <c r="AV52" s="207">
        <f>[1]!'AI[48].L.V'</f>
        <v>0</v>
      </c>
      <c r="AW52" s="207">
        <f>[1]!'AI[48].L.fix'</f>
        <v>0</v>
      </c>
      <c r="AX52" s="208"/>
      <c r="AY52" s="203">
        <f>[1]!'AI[48].H.EN'</f>
        <v>0</v>
      </c>
      <c r="AZ52" s="207">
        <f>[1]!'AI[48].H.V'</f>
        <v>0</v>
      </c>
      <c r="BA52" s="207">
        <f>[1]!'AI[48].H.fix'</f>
        <v>0</v>
      </c>
      <c r="BB52" s="208"/>
      <c r="BC52" s="203">
        <f>[1]!'AI[48].LL.EN'</f>
        <v>0</v>
      </c>
      <c r="BD52" s="207">
        <f>[1]!'AI[48].LL.V'</f>
        <v>0</v>
      </c>
      <c r="BE52" s="207">
        <f>[1]!'AI[48].LL.fix'</f>
        <v>0</v>
      </c>
      <c r="BF52" s="208"/>
      <c r="BG52" s="203">
        <f>[1]!'AI[48].HH.EN'</f>
        <v>0</v>
      </c>
      <c r="BH52" s="207">
        <f>[1]!'AI[48].HH.V'</f>
        <v>0</v>
      </c>
      <c r="BI52" s="207">
        <f>[1]!'AI[48].HH.fix'</f>
        <v>0</v>
      </c>
      <c r="BJ52" s="209"/>
      <c r="BK52" s="207">
        <f>[1]!'AI[48].group'</f>
        <v>2</v>
      </c>
      <c r="BL52" s="207">
        <f>[1]!'AI[48].state'</f>
        <v>4</v>
      </c>
      <c r="BM52" s="207">
        <f>[1]!'AI[48].isInvScale'</f>
        <v>0</v>
      </c>
    </row>
    <row r="53" spans="1:65">
      <c r="A53" s="445"/>
      <c r="B53" s="446"/>
      <c r="C53" s="221">
        <v>1</v>
      </c>
      <c r="D53" s="221">
        <v>1</v>
      </c>
      <c r="E53" s="222" t="s">
        <v>367</v>
      </c>
      <c r="F53" s="222" t="s">
        <v>368</v>
      </c>
      <c r="G53" s="207">
        <f>[1]!'AI[49].ZL'</f>
        <v>0</v>
      </c>
      <c r="H53" s="207">
        <f>[1]!'AI[49].ZH'</f>
        <v>60</v>
      </c>
      <c r="I53" s="221" t="s">
        <v>366</v>
      </c>
      <c r="J53" s="207">
        <f>[1]!'AI[49].RL.V'</f>
        <v>18</v>
      </c>
      <c r="K53" s="207">
        <f>[1]!'AI[49].RH.V'</f>
        <v>25</v>
      </c>
      <c r="L53" s="207">
        <f>[1]!'AI[49].L.V'</f>
        <v>0</v>
      </c>
      <c r="M53" s="207">
        <f>[1]!'AI[49].H.V'</f>
        <v>0</v>
      </c>
      <c r="N53" s="207">
        <f>[1]!'AI[49].LL.V'</f>
        <v>0</v>
      </c>
      <c r="O53" s="207">
        <f>[1]!'AI[49].HH.V'</f>
        <v>0</v>
      </c>
      <c r="P53" s="223">
        <v>1</v>
      </c>
      <c r="Q53" s="224">
        <v>0</v>
      </c>
      <c r="R53" s="184"/>
      <c r="T53" s="207">
        <f>[1]!'AI[49].group'</f>
        <v>2</v>
      </c>
      <c r="X53" s="203">
        <f>[1]!'AI[49].EN'</f>
        <v>1</v>
      </c>
      <c r="Y53" s="207">
        <f>[1]!'AI[49].i'</f>
        <v>4.7111510000000002E-3</v>
      </c>
      <c r="Z53" s="207">
        <f>[1]!'AI[49].isForce'</f>
        <v>0</v>
      </c>
      <c r="AA53" s="207" t="e">
        <f>[1]!'AI[49].vRaw'</f>
        <v>#REF!</v>
      </c>
      <c r="AB53" s="203">
        <f>[1]!'AI[49].isCorrect'</f>
        <v>0</v>
      </c>
      <c r="AC53" s="207" t="e">
        <f>[1]!'AI[49].vCorrect'</f>
        <v>#REF!</v>
      </c>
      <c r="AD53" s="207">
        <f>[1]!'AI[49].v'</f>
        <v>0</v>
      </c>
      <c r="AE53" s="203" t="e">
        <f>[1]!'AI[49].isCut'</f>
        <v>#REF!</v>
      </c>
      <c r="AF53" s="207" t="e">
        <f>[1]!'AI[49].vCut'</f>
        <v>#REF!</v>
      </c>
      <c r="AG53" s="208"/>
      <c r="AH53" s="207">
        <f>[1]!'AI[49].break.sgn'</f>
        <v>1</v>
      </c>
      <c r="AI53" s="208"/>
      <c r="AJ53" s="207">
        <f>[1]!'AI[49].ZL'</f>
        <v>0</v>
      </c>
      <c r="AK53" s="207">
        <f>[1]!'AI[49].ZH'</f>
        <v>60</v>
      </c>
      <c r="AL53" s="208"/>
      <c r="AM53" s="203">
        <f>[1]!'AI[49].RL.EN'</f>
        <v>1</v>
      </c>
      <c r="AN53" s="207">
        <f>[1]!'AI[49].RL.V'</f>
        <v>18</v>
      </c>
      <c r="AO53" s="207">
        <f>[1]!'AI[49].RL.fix'</f>
        <v>0</v>
      </c>
      <c r="AP53" s="208"/>
      <c r="AQ53" s="203">
        <f>[1]!'AI[49].RH.EN'</f>
        <v>1</v>
      </c>
      <c r="AR53" s="207">
        <f>[1]!'AI[49].RH.V'</f>
        <v>25</v>
      </c>
      <c r="AS53" s="207">
        <f>[1]!'AI[49].RH.fix'</f>
        <v>0</v>
      </c>
      <c r="AT53" s="208"/>
      <c r="AU53" s="203">
        <f>[1]!'AI[49].L.EN'</f>
        <v>0</v>
      </c>
      <c r="AV53" s="207">
        <f>[1]!'AI[49].L.V'</f>
        <v>0</v>
      </c>
      <c r="AW53" s="207">
        <f>[1]!'AI[49].L.fix'</f>
        <v>0</v>
      </c>
      <c r="AX53" s="208"/>
      <c r="AY53" s="203">
        <f>[1]!'AI[49].H.EN'</f>
        <v>0</v>
      </c>
      <c r="AZ53" s="207">
        <f>[1]!'AI[49].H.V'</f>
        <v>0</v>
      </c>
      <c r="BA53" s="207">
        <f>[1]!'AI[49].H.fix'</f>
        <v>0</v>
      </c>
      <c r="BB53" s="208"/>
      <c r="BC53" s="203">
        <f>[1]!'AI[49].LL.EN'</f>
        <v>0</v>
      </c>
      <c r="BD53" s="207">
        <f>[1]!'AI[49].LL.V'</f>
        <v>0</v>
      </c>
      <c r="BE53" s="207">
        <f>[1]!'AI[49].LL.fix'</f>
        <v>0</v>
      </c>
      <c r="BF53" s="208"/>
      <c r="BG53" s="203">
        <f>[1]!'AI[49].HH.EN'</f>
        <v>0</v>
      </c>
      <c r="BH53" s="207">
        <f>[1]!'AI[49].HH.V'</f>
        <v>0</v>
      </c>
      <c r="BI53" s="207">
        <f>[1]!'AI[49].HH.fix'</f>
        <v>0</v>
      </c>
      <c r="BJ53" s="209"/>
      <c r="BK53" s="207">
        <f>[1]!'AI[49].group'</f>
        <v>2</v>
      </c>
      <c r="BL53" s="207">
        <f>[1]!'AI[49].state'</f>
        <v>4</v>
      </c>
      <c r="BM53" s="207">
        <f>[1]!'AI[49].isInvScale'</f>
        <v>0</v>
      </c>
    </row>
    <row r="54" spans="1:65">
      <c r="A54" s="445"/>
      <c r="B54" s="446"/>
      <c r="C54" s="221">
        <v>2</v>
      </c>
      <c r="D54" s="221">
        <v>2</v>
      </c>
      <c r="E54" s="222" t="s">
        <v>369</v>
      </c>
      <c r="F54" s="222" t="s">
        <v>370</v>
      </c>
      <c r="G54" s="207">
        <f>[1]!'AI[50].ZL'</f>
        <v>0</v>
      </c>
      <c r="H54" s="207">
        <f>[1]!'AI[50].ZH'</f>
        <v>400</v>
      </c>
      <c r="I54" s="221" t="s">
        <v>366</v>
      </c>
      <c r="J54" s="207">
        <f>[1]!'AI[50].RL.V'</f>
        <v>30</v>
      </c>
      <c r="K54" s="207">
        <f>[1]!'AI[50].RH.V'</f>
        <v>100</v>
      </c>
      <c r="L54" s="207">
        <f>[1]!'AI[50].L.V'</f>
        <v>0</v>
      </c>
      <c r="M54" s="207">
        <f>[1]!'AI[50].H.V'</f>
        <v>0</v>
      </c>
      <c r="N54" s="207">
        <f>[1]!'AI[50].LL.V'</f>
        <v>0</v>
      </c>
      <c r="O54" s="207">
        <f>[1]!'AI[50].HH.V'</f>
        <v>0</v>
      </c>
      <c r="P54" s="223">
        <v>1</v>
      </c>
      <c r="Q54" s="224">
        <v>0</v>
      </c>
      <c r="R54" s="184"/>
      <c r="T54" s="207">
        <f>[1]!'AI[50].group'</f>
        <v>2</v>
      </c>
      <c r="X54" s="203">
        <f>[1]!'AI[50].EN'</f>
        <v>1</v>
      </c>
      <c r="Y54" s="207">
        <f>[1]!'AI[50].i'</f>
        <v>4.7111510000000002E-3</v>
      </c>
      <c r="Z54" s="207">
        <f>[1]!'AI[50].isForce'</f>
        <v>0</v>
      </c>
      <c r="AA54" s="207" t="e">
        <f>[1]!'AI[50].vRaw'</f>
        <v>#REF!</v>
      </c>
      <c r="AB54" s="203">
        <f>[1]!'AI[50].isCorrect'</f>
        <v>0</v>
      </c>
      <c r="AC54" s="207" t="e">
        <f>[1]!'AI[50].vCorrect'</f>
        <v>#REF!</v>
      </c>
      <c r="AD54" s="207">
        <f>[1]!'AI[50].v'</f>
        <v>0</v>
      </c>
      <c r="AE54" s="203" t="e">
        <f>[1]!'AI[50].isCut'</f>
        <v>#REF!</v>
      </c>
      <c r="AF54" s="207" t="e">
        <f>[1]!'AI[50].vCut'</f>
        <v>#REF!</v>
      </c>
      <c r="AG54" s="208"/>
      <c r="AH54" s="207">
        <f>[1]!'AI[50].break.sgn'</f>
        <v>1</v>
      </c>
      <c r="AI54" s="208"/>
      <c r="AJ54" s="207">
        <f>[1]!'AI[50].ZL'</f>
        <v>0</v>
      </c>
      <c r="AK54" s="207">
        <f>[1]!'AI[50].ZH'</f>
        <v>400</v>
      </c>
      <c r="AL54" s="208"/>
      <c r="AM54" s="203">
        <f>[1]!'AI[50].RL.EN'</f>
        <v>1</v>
      </c>
      <c r="AN54" s="207">
        <f>[1]!'AI[50].RL.V'</f>
        <v>30</v>
      </c>
      <c r="AO54" s="207">
        <f>[1]!'AI[50].RL.fix'</f>
        <v>0</v>
      </c>
      <c r="AP54" s="208"/>
      <c r="AQ54" s="203">
        <f>[1]!'AI[50].RH.EN'</f>
        <v>1</v>
      </c>
      <c r="AR54" s="207">
        <f>[1]!'AI[50].RH.V'</f>
        <v>100</v>
      </c>
      <c r="AS54" s="207">
        <f>[1]!'AI[50].RH.fix'</f>
        <v>0</v>
      </c>
      <c r="AT54" s="208"/>
      <c r="AU54" s="203">
        <f>[1]!'AI[50].L.EN'</f>
        <v>0</v>
      </c>
      <c r="AV54" s="207">
        <f>[1]!'AI[50].L.V'</f>
        <v>0</v>
      </c>
      <c r="AW54" s="207">
        <f>[1]!'AI[50].L.fix'</f>
        <v>0</v>
      </c>
      <c r="AX54" s="208"/>
      <c r="AY54" s="203">
        <f>[1]!'AI[50].H.EN'</f>
        <v>0</v>
      </c>
      <c r="AZ54" s="207">
        <f>[1]!'AI[50].H.V'</f>
        <v>0</v>
      </c>
      <c r="BA54" s="207">
        <f>[1]!'AI[50].H.fix'</f>
        <v>0</v>
      </c>
      <c r="BB54" s="208"/>
      <c r="BC54" s="203">
        <f>[1]!'AI[50].LL.EN'</f>
        <v>0</v>
      </c>
      <c r="BD54" s="207">
        <f>[1]!'AI[50].LL.V'</f>
        <v>0</v>
      </c>
      <c r="BE54" s="207">
        <f>[1]!'AI[50].LL.fix'</f>
        <v>0</v>
      </c>
      <c r="BF54" s="208"/>
      <c r="BG54" s="203">
        <f>[1]!'AI[50].HH.EN'</f>
        <v>0</v>
      </c>
      <c r="BH54" s="207">
        <f>[1]!'AI[50].HH.V'</f>
        <v>0</v>
      </c>
      <c r="BI54" s="207">
        <f>[1]!'AI[50].HH.fix'</f>
        <v>0</v>
      </c>
      <c r="BJ54" s="209"/>
      <c r="BK54" s="207">
        <f>[1]!'AI[50].group'</f>
        <v>2</v>
      </c>
      <c r="BL54" s="207">
        <f>[1]!'AI[50].state'</f>
        <v>4</v>
      </c>
      <c r="BM54" s="207">
        <f>[1]!'AI[50].isInvScale'</f>
        <v>0</v>
      </c>
    </row>
    <row r="55" spans="1:65">
      <c r="A55" s="445"/>
      <c r="B55" s="446"/>
      <c r="C55" s="221">
        <v>3</v>
      </c>
      <c r="D55" s="221">
        <v>3</v>
      </c>
      <c r="E55" s="222" t="s">
        <v>371</v>
      </c>
      <c r="F55" s="222" t="s">
        <v>372</v>
      </c>
      <c r="G55" s="207">
        <f>[1]!'AI[51].ZL'</f>
        <v>0</v>
      </c>
      <c r="H55" s="207">
        <f>[1]!'AI[51].ZH'</f>
        <v>100</v>
      </c>
      <c r="I55" s="221" t="s">
        <v>366</v>
      </c>
      <c r="J55" s="207">
        <f>[1]!'AI[51].RL.V'</f>
        <v>15</v>
      </c>
      <c r="K55" s="207">
        <f>[1]!'AI[51].RH.V'</f>
        <v>40</v>
      </c>
      <c r="L55" s="207">
        <f>[1]!'AI[51].L.V'</f>
        <v>10</v>
      </c>
      <c r="M55" s="207">
        <f>[1]!'AI[51].H.V'</f>
        <v>55</v>
      </c>
      <c r="N55" s="207">
        <f>[1]!'AI[51].LL.V'</f>
        <v>0</v>
      </c>
      <c r="O55" s="207">
        <f>[1]!'AI[51].HH.V'</f>
        <v>0</v>
      </c>
      <c r="P55" s="223">
        <v>1</v>
      </c>
      <c r="Q55" s="224">
        <v>0</v>
      </c>
      <c r="R55" s="184"/>
      <c r="T55" s="207">
        <f>[1]!'AI[51].group'</f>
        <v>2</v>
      </c>
      <c r="X55" s="203">
        <f>[1]!'AI[51].EN'</f>
        <v>1</v>
      </c>
      <c r="Y55" s="207">
        <f>[1]!'AI[51].i'</f>
        <v>4.0150759999999996</v>
      </c>
      <c r="Z55" s="207">
        <f>[1]!'AI[51].isForce'</f>
        <v>0</v>
      </c>
      <c r="AA55" s="207" t="e">
        <f>[1]!'AI[51].vRaw'</f>
        <v>#REF!</v>
      </c>
      <c r="AB55" s="203">
        <f>[1]!'AI[51].isCorrect'</f>
        <v>0</v>
      </c>
      <c r="AC55" s="207" t="e">
        <f>[1]!'AI[51].vCorrect'</f>
        <v>#REF!</v>
      </c>
      <c r="AD55" s="207">
        <f>[1]!'AI[51].v'</f>
        <v>0</v>
      </c>
      <c r="AE55" s="203" t="e">
        <f>[1]!'AI[51].isCut'</f>
        <v>#REF!</v>
      </c>
      <c r="AF55" s="207" t="e">
        <f>[1]!'AI[51].vCut'</f>
        <v>#REF!</v>
      </c>
      <c r="AG55" s="208"/>
      <c r="AH55" s="207">
        <f>[1]!'AI[51].break.sgn'</f>
        <v>0</v>
      </c>
      <c r="AI55" s="208"/>
      <c r="AJ55" s="207">
        <f>[1]!'AI[51].ZL'</f>
        <v>0</v>
      </c>
      <c r="AK55" s="207">
        <f>[1]!'AI[51].ZH'</f>
        <v>100</v>
      </c>
      <c r="AL55" s="208"/>
      <c r="AM55" s="203">
        <f>[1]!'AI[51].RL.EN'</f>
        <v>1</v>
      </c>
      <c r="AN55" s="207">
        <f>[1]!'AI[51].RL.V'</f>
        <v>15</v>
      </c>
      <c r="AO55" s="207">
        <f>[1]!'AI[51].RL.fix'</f>
        <v>1</v>
      </c>
      <c r="AP55" s="208"/>
      <c r="AQ55" s="203">
        <f>[1]!'AI[51].RH.EN'</f>
        <v>1</v>
      </c>
      <c r="AR55" s="207">
        <f>[1]!'AI[51].RH.V'</f>
        <v>40</v>
      </c>
      <c r="AS55" s="207">
        <f>[1]!'AI[51].RH.fix'</f>
        <v>0</v>
      </c>
      <c r="AT55" s="208"/>
      <c r="AU55" s="203">
        <f>[1]!'AI[51].L.EN'</f>
        <v>1</v>
      </c>
      <c r="AV55" s="207">
        <f>[1]!'AI[51].L.V'</f>
        <v>10</v>
      </c>
      <c r="AW55" s="207">
        <f>[1]!'AI[51].L.fix'</f>
        <v>1</v>
      </c>
      <c r="AX55" s="208"/>
      <c r="AY55" s="203">
        <f>[1]!'AI[51].H.EN'</f>
        <v>1</v>
      </c>
      <c r="AZ55" s="207">
        <f>[1]!'AI[51].H.V'</f>
        <v>55</v>
      </c>
      <c r="BA55" s="207">
        <f>[1]!'AI[51].H.fix'</f>
        <v>0</v>
      </c>
      <c r="BB55" s="208"/>
      <c r="BC55" s="203">
        <f>[1]!'AI[51].LL.EN'</f>
        <v>0</v>
      </c>
      <c r="BD55" s="207">
        <f>[1]!'AI[51].LL.V'</f>
        <v>0</v>
      </c>
      <c r="BE55" s="207">
        <f>[1]!'AI[51].LL.fix'</f>
        <v>0</v>
      </c>
      <c r="BF55" s="208"/>
      <c r="BG55" s="203">
        <f>[1]!'AI[51].HH.EN'</f>
        <v>0</v>
      </c>
      <c r="BH55" s="207">
        <f>[1]!'AI[51].HH.V'</f>
        <v>0</v>
      </c>
      <c r="BI55" s="207">
        <f>[1]!'AI[51].HH.fix'</f>
        <v>0</v>
      </c>
      <c r="BJ55" s="209"/>
      <c r="BK55" s="207">
        <f>[1]!'AI[51].group'</f>
        <v>2</v>
      </c>
      <c r="BL55" s="207">
        <f>[1]!'AI[51].state'</f>
        <v>2</v>
      </c>
      <c r="BM55" s="207">
        <f>[1]!'AI[51].isInvScale'</f>
        <v>0</v>
      </c>
    </row>
    <row r="56" spans="1:65">
      <c r="A56" s="445"/>
      <c r="B56" s="446"/>
      <c r="C56" s="221">
        <v>4</v>
      </c>
      <c r="D56" s="221">
        <v>4</v>
      </c>
      <c r="E56" s="222" t="s">
        <v>373</v>
      </c>
      <c r="F56" s="222" t="s">
        <v>374</v>
      </c>
      <c r="G56" s="207">
        <f>[1]!'AI[52].ZL'</f>
        <v>0</v>
      </c>
      <c r="H56" s="207">
        <f>[1]!'AI[52].ZH'</f>
        <v>100</v>
      </c>
      <c r="I56" s="221" t="s">
        <v>366</v>
      </c>
      <c r="J56" s="207">
        <f>[1]!'AI[52].RL.V'</f>
        <v>10</v>
      </c>
      <c r="K56" s="207">
        <f>[1]!'AI[52].RH.V'</f>
        <v>60</v>
      </c>
      <c r="L56" s="207">
        <f>[1]!'AI[52].L.V'</f>
        <v>10</v>
      </c>
      <c r="M56" s="207">
        <f>[1]!'AI[52].H.V'</f>
        <v>60</v>
      </c>
      <c r="N56" s="207">
        <f>[1]!'AI[52].LL.V'</f>
        <v>0</v>
      </c>
      <c r="O56" s="207">
        <f>[1]!'AI[52].HH.V'</f>
        <v>0</v>
      </c>
      <c r="P56" s="223">
        <v>1</v>
      </c>
      <c r="Q56" s="224">
        <v>0</v>
      </c>
      <c r="R56" s="184"/>
      <c r="T56" s="207">
        <f>[1]!'AI[52].group'</f>
        <v>2</v>
      </c>
      <c r="X56" s="203">
        <f>[1]!'AI[52].EN'</f>
        <v>1</v>
      </c>
      <c r="Y56" s="207">
        <f>[1]!'AI[52].i'</f>
        <v>4.0080410000000004</v>
      </c>
      <c r="Z56" s="207">
        <f>[1]!'AI[52].isForce'</f>
        <v>0</v>
      </c>
      <c r="AA56" s="207" t="e">
        <f>[1]!'AI[52].vRaw'</f>
        <v>#REF!</v>
      </c>
      <c r="AB56" s="203">
        <f>[1]!'AI[52].isCorrect'</f>
        <v>0</v>
      </c>
      <c r="AC56" s="207" t="e">
        <f>[1]!'AI[52].vCorrect'</f>
        <v>#REF!</v>
      </c>
      <c r="AD56" s="207">
        <f>[1]!'AI[52].v'</f>
        <v>0</v>
      </c>
      <c r="AE56" s="203" t="e">
        <f>[1]!'AI[52].isCut'</f>
        <v>#REF!</v>
      </c>
      <c r="AF56" s="207" t="e">
        <f>[1]!'AI[52].vCut'</f>
        <v>#REF!</v>
      </c>
      <c r="AG56" s="208"/>
      <c r="AH56" s="207">
        <f>[1]!'AI[52].break.sgn'</f>
        <v>0</v>
      </c>
      <c r="AI56" s="208"/>
      <c r="AJ56" s="207">
        <f>[1]!'AI[52].ZL'</f>
        <v>0</v>
      </c>
      <c r="AK56" s="207">
        <f>[1]!'AI[52].ZH'</f>
        <v>100</v>
      </c>
      <c r="AL56" s="208"/>
      <c r="AM56" s="203">
        <f>[1]!'AI[52].RL.EN'</f>
        <v>1</v>
      </c>
      <c r="AN56" s="207">
        <f>[1]!'AI[52].RL.V'</f>
        <v>10</v>
      </c>
      <c r="AO56" s="207">
        <f>[1]!'AI[52].RL.fix'</f>
        <v>1</v>
      </c>
      <c r="AP56" s="208"/>
      <c r="AQ56" s="203">
        <f>[1]!'AI[52].RH.EN'</f>
        <v>1</v>
      </c>
      <c r="AR56" s="207">
        <f>[1]!'AI[52].RH.V'</f>
        <v>60</v>
      </c>
      <c r="AS56" s="207">
        <f>[1]!'AI[52].RH.fix'</f>
        <v>0</v>
      </c>
      <c r="AT56" s="208"/>
      <c r="AU56" s="203">
        <f>[1]!'AI[52].L.EN'</f>
        <v>1</v>
      </c>
      <c r="AV56" s="207">
        <f>[1]!'AI[52].L.V'</f>
        <v>10</v>
      </c>
      <c r="AW56" s="207">
        <f>[1]!'AI[52].L.fix'</f>
        <v>1</v>
      </c>
      <c r="AX56" s="208"/>
      <c r="AY56" s="203">
        <f>[1]!'AI[52].H.EN'</f>
        <v>1</v>
      </c>
      <c r="AZ56" s="207">
        <f>[1]!'AI[52].H.V'</f>
        <v>60</v>
      </c>
      <c r="BA56" s="207">
        <f>[1]!'AI[52].H.fix'</f>
        <v>0</v>
      </c>
      <c r="BB56" s="208"/>
      <c r="BC56" s="203">
        <f>[1]!'AI[52].LL.EN'</f>
        <v>0</v>
      </c>
      <c r="BD56" s="207">
        <f>[1]!'AI[52].LL.V'</f>
        <v>0</v>
      </c>
      <c r="BE56" s="207">
        <f>[1]!'AI[52].LL.fix'</f>
        <v>0</v>
      </c>
      <c r="BF56" s="208"/>
      <c r="BG56" s="203">
        <f>[1]!'AI[52].HH.EN'</f>
        <v>0</v>
      </c>
      <c r="BH56" s="207">
        <f>[1]!'AI[52].HH.V'</f>
        <v>0</v>
      </c>
      <c r="BI56" s="207">
        <f>[1]!'AI[52].HH.fix'</f>
        <v>0</v>
      </c>
      <c r="BJ56" s="209"/>
      <c r="BK56" s="207">
        <f>[1]!'AI[52].group'</f>
        <v>2</v>
      </c>
      <c r="BL56" s="207">
        <f>[1]!'AI[52].state'</f>
        <v>2</v>
      </c>
      <c r="BM56" s="207">
        <f>[1]!'AI[52].isInvScale'</f>
        <v>0</v>
      </c>
    </row>
    <row r="57" spans="1:65">
      <c r="A57" s="445"/>
      <c r="B57" s="446"/>
      <c r="C57" s="221">
        <v>5</v>
      </c>
      <c r="D57" s="221">
        <v>5</v>
      </c>
      <c r="E57" s="222" t="s">
        <v>375</v>
      </c>
      <c r="F57" s="222" t="s">
        <v>376</v>
      </c>
      <c r="G57" s="207">
        <f>[1]!'AI[53].ZL'</f>
        <v>0</v>
      </c>
      <c r="H57" s="207">
        <f>[1]!'AI[53].ZH'</f>
        <v>75</v>
      </c>
      <c r="I57" s="221" t="s">
        <v>366</v>
      </c>
      <c r="J57" s="207">
        <f>[1]!'AI[53].RL.V'</f>
        <v>27</v>
      </c>
      <c r="K57" s="207">
        <f>[1]!'AI[53].RH.V'</f>
        <v>60</v>
      </c>
      <c r="L57" s="207">
        <f>[1]!'AI[53].L.V'</f>
        <v>0</v>
      </c>
      <c r="M57" s="207">
        <f>[1]!'AI[53].H.V'</f>
        <v>0</v>
      </c>
      <c r="N57" s="207">
        <f>[1]!'AI[53].LL.V'</f>
        <v>0</v>
      </c>
      <c r="O57" s="207">
        <f>[1]!'AI[53].HH.V'</f>
        <v>0</v>
      </c>
      <c r="P57" s="223">
        <v>1</v>
      </c>
      <c r="Q57" s="224">
        <v>0</v>
      </c>
      <c r="R57" s="184"/>
      <c r="T57" s="207">
        <f>[1]!'AI[53].group'</f>
        <v>2</v>
      </c>
      <c r="X57" s="203">
        <f>[1]!'AI[53].EN'</f>
        <v>1</v>
      </c>
      <c r="Y57" s="207">
        <f>[1]!'AI[53].i'</f>
        <v>2.8266910000000001E-3</v>
      </c>
      <c r="Z57" s="207">
        <f>[1]!'AI[53].isForce'</f>
        <v>0</v>
      </c>
      <c r="AA57" s="207" t="e">
        <f>[1]!'AI[53].vRaw'</f>
        <v>#REF!</v>
      </c>
      <c r="AB57" s="203">
        <f>[1]!'AI[53].isCorrect'</f>
        <v>0</v>
      </c>
      <c r="AC57" s="207" t="e">
        <f>[1]!'AI[53].vCorrect'</f>
        <v>#REF!</v>
      </c>
      <c r="AD57" s="207">
        <f>[1]!'AI[53].v'</f>
        <v>0</v>
      </c>
      <c r="AE57" s="203" t="e">
        <f>[1]!'AI[53].isCut'</f>
        <v>#REF!</v>
      </c>
      <c r="AF57" s="207" t="e">
        <f>[1]!'AI[53].vCut'</f>
        <v>#REF!</v>
      </c>
      <c r="AG57" s="208"/>
      <c r="AH57" s="207">
        <f>[1]!'AI[53].break.sgn'</f>
        <v>1</v>
      </c>
      <c r="AI57" s="208"/>
      <c r="AJ57" s="207">
        <f>[1]!'AI[53].ZL'</f>
        <v>0</v>
      </c>
      <c r="AK57" s="207">
        <f>[1]!'AI[53].ZH'</f>
        <v>75</v>
      </c>
      <c r="AL57" s="208"/>
      <c r="AM57" s="203">
        <f>[1]!'AI[53].RL.EN'</f>
        <v>1</v>
      </c>
      <c r="AN57" s="207">
        <f>[1]!'AI[53].RL.V'</f>
        <v>27</v>
      </c>
      <c r="AO57" s="207">
        <f>[1]!'AI[53].RL.fix'</f>
        <v>0</v>
      </c>
      <c r="AP57" s="208"/>
      <c r="AQ57" s="203">
        <f>[1]!'AI[53].RH.EN'</f>
        <v>1</v>
      </c>
      <c r="AR57" s="207">
        <f>[1]!'AI[53].RH.V'</f>
        <v>60</v>
      </c>
      <c r="AS57" s="207">
        <f>[1]!'AI[53].RH.fix'</f>
        <v>0</v>
      </c>
      <c r="AT57" s="208"/>
      <c r="AU57" s="203">
        <f>[1]!'AI[53].L.EN'</f>
        <v>0</v>
      </c>
      <c r="AV57" s="207">
        <f>[1]!'AI[53].L.V'</f>
        <v>0</v>
      </c>
      <c r="AW57" s="207">
        <f>[1]!'AI[53].L.fix'</f>
        <v>0</v>
      </c>
      <c r="AX57" s="208"/>
      <c r="AY57" s="203">
        <f>[1]!'AI[53].H.EN'</f>
        <v>0</v>
      </c>
      <c r="AZ57" s="207">
        <f>[1]!'AI[53].H.V'</f>
        <v>0</v>
      </c>
      <c r="BA57" s="207">
        <f>[1]!'AI[53].H.fix'</f>
        <v>0</v>
      </c>
      <c r="BB57" s="208"/>
      <c r="BC57" s="203">
        <f>[1]!'AI[53].LL.EN'</f>
        <v>0</v>
      </c>
      <c r="BD57" s="207">
        <f>[1]!'AI[53].LL.V'</f>
        <v>0</v>
      </c>
      <c r="BE57" s="207">
        <f>[1]!'AI[53].LL.fix'</f>
        <v>0</v>
      </c>
      <c r="BF57" s="208"/>
      <c r="BG57" s="203">
        <f>[1]!'AI[53].HH.EN'</f>
        <v>0</v>
      </c>
      <c r="BH57" s="207">
        <f>[1]!'AI[53].HH.V'</f>
        <v>0</v>
      </c>
      <c r="BI57" s="207">
        <f>[1]!'AI[53].HH.fix'</f>
        <v>0</v>
      </c>
      <c r="BJ57" s="209"/>
      <c r="BK57" s="207">
        <f>[1]!'AI[53].group'</f>
        <v>2</v>
      </c>
      <c r="BL57" s="207">
        <f>[1]!'AI[53].state'</f>
        <v>4</v>
      </c>
      <c r="BM57" s="207">
        <f>[1]!'AI[53].isInvScale'</f>
        <v>0</v>
      </c>
    </row>
    <row r="58" spans="1:65">
      <c r="A58" s="445"/>
      <c r="B58" s="446"/>
      <c r="C58" s="221">
        <v>6</v>
      </c>
      <c r="D58" s="221">
        <v>6</v>
      </c>
      <c r="E58" s="222" t="s">
        <v>377</v>
      </c>
      <c r="F58" s="222" t="s">
        <v>378</v>
      </c>
      <c r="G58" s="207">
        <f>[1]!'AI[54].ZL'</f>
        <v>0</v>
      </c>
      <c r="H58" s="207">
        <f>[1]!'AI[54].ZH'</f>
        <v>2000</v>
      </c>
      <c r="I58" s="221" t="s">
        <v>366</v>
      </c>
      <c r="J58" s="207">
        <f>[1]!'AI[54].RL.V'</f>
        <v>0</v>
      </c>
      <c r="K58" s="207">
        <f>[1]!'AI[54].RH.V'</f>
        <v>1630</v>
      </c>
      <c r="L58" s="207">
        <f>[1]!'AI[54].L.V'</f>
        <v>0</v>
      </c>
      <c r="M58" s="207">
        <f>[1]!'AI[54].H.V'</f>
        <v>0</v>
      </c>
      <c r="N58" s="207">
        <f>[1]!'AI[54].LL.V'</f>
        <v>0</v>
      </c>
      <c r="O58" s="207">
        <f>[1]!'AI[54].HH.V'</f>
        <v>0</v>
      </c>
      <c r="P58" s="223">
        <v>1</v>
      </c>
      <c r="Q58" s="224">
        <v>0</v>
      </c>
      <c r="R58" s="184"/>
      <c r="T58" s="207">
        <f>[1]!'AI[54].group'</f>
        <v>2</v>
      </c>
      <c r="X58" s="203">
        <f>[1]!'AI[54].EN'</f>
        <v>1</v>
      </c>
      <c r="Y58" s="207">
        <f>[1]!'AI[54].i'</f>
        <v>2.8266910000000001E-3</v>
      </c>
      <c r="Z58" s="207">
        <f>[1]!'AI[54].isForce'</f>
        <v>0</v>
      </c>
      <c r="AA58" s="207" t="e">
        <f>[1]!'AI[54].vRaw'</f>
        <v>#REF!</v>
      </c>
      <c r="AB58" s="203">
        <f>[1]!'AI[54].isCorrect'</f>
        <v>0</v>
      </c>
      <c r="AC58" s="207" t="e">
        <f>[1]!'AI[54].vCorrect'</f>
        <v>#REF!</v>
      </c>
      <c r="AD58" s="207">
        <f>[1]!'AI[54].v'</f>
        <v>0</v>
      </c>
      <c r="AE58" s="203" t="e">
        <f>[1]!'AI[54].isCut'</f>
        <v>#REF!</v>
      </c>
      <c r="AF58" s="207" t="e">
        <f>[1]!'AI[54].vCut'</f>
        <v>#REF!</v>
      </c>
      <c r="AG58" s="208"/>
      <c r="AH58" s="207">
        <f>[1]!'AI[54].break.sgn'</f>
        <v>1</v>
      </c>
      <c r="AI58" s="208"/>
      <c r="AJ58" s="207">
        <f>[1]!'AI[54].ZL'</f>
        <v>0</v>
      </c>
      <c r="AK58" s="207">
        <f>[1]!'AI[54].ZH'</f>
        <v>2000</v>
      </c>
      <c r="AL58" s="208"/>
      <c r="AM58" s="203">
        <f>[1]!'AI[54].RL.EN'</f>
        <v>1</v>
      </c>
      <c r="AN58" s="207">
        <f>[1]!'AI[54].RL.V'</f>
        <v>0</v>
      </c>
      <c r="AO58" s="207">
        <f>[1]!'AI[54].RL.fix'</f>
        <v>0</v>
      </c>
      <c r="AP58" s="208"/>
      <c r="AQ58" s="203">
        <f>[1]!'AI[54].RH.EN'</f>
        <v>1</v>
      </c>
      <c r="AR58" s="207">
        <f>[1]!'AI[54].RH.V'</f>
        <v>1630</v>
      </c>
      <c r="AS58" s="207">
        <f>[1]!'AI[54].RH.fix'</f>
        <v>0</v>
      </c>
      <c r="AT58" s="208"/>
      <c r="AU58" s="203">
        <f>[1]!'AI[54].L.EN'</f>
        <v>0</v>
      </c>
      <c r="AV58" s="207">
        <f>[1]!'AI[54].L.V'</f>
        <v>0</v>
      </c>
      <c r="AW58" s="207">
        <f>[1]!'AI[54].L.fix'</f>
        <v>0</v>
      </c>
      <c r="AX58" s="208"/>
      <c r="AY58" s="203">
        <f>[1]!'AI[54].H.EN'</f>
        <v>0</v>
      </c>
      <c r="AZ58" s="207">
        <f>[1]!'AI[54].H.V'</f>
        <v>0</v>
      </c>
      <c r="BA58" s="207">
        <f>[1]!'AI[54].H.fix'</f>
        <v>0</v>
      </c>
      <c r="BB58" s="208"/>
      <c r="BC58" s="203">
        <f>[1]!'AI[54].LL.EN'</f>
        <v>0</v>
      </c>
      <c r="BD58" s="207">
        <f>[1]!'AI[54].LL.V'</f>
        <v>0</v>
      </c>
      <c r="BE58" s="207">
        <f>[1]!'AI[54].LL.fix'</f>
        <v>0</v>
      </c>
      <c r="BF58" s="208"/>
      <c r="BG58" s="203">
        <f>[1]!'AI[54].HH.EN'</f>
        <v>0</v>
      </c>
      <c r="BH58" s="207">
        <f>[1]!'AI[54].HH.V'</f>
        <v>0</v>
      </c>
      <c r="BI58" s="207">
        <f>[1]!'AI[54].HH.fix'</f>
        <v>0</v>
      </c>
      <c r="BJ58" s="209"/>
      <c r="BK58" s="207">
        <f>[1]!'AI[54].group'</f>
        <v>2</v>
      </c>
      <c r="BL58" s="207">
        <f>[1]!'AI[54].state'</f>
        <v>4</v>
      </c>
      <c r="BM58" s="207">
        <f>[1]!'AI[54].isInvScale'</f>
        <v>0</v>
      </c>
    </row>
    <row r="59" spans="1:65">
      <c r="A59" s="445"/>
      <c r="B59" s="446"/>
      <c r="C59" s="221">
        <v>7</v>
      </c>
      <c r="D59" s="221">
        <v>7</v>
      </c>
      <c r="E59" s="222" t="s">
        <v>379</v>
      </c>
      <c r="F59" s="222" t="s">
        <v>380</v>
      </c>
      <c r="G59" s="207">
        <f>[1]!'AI[55].ZL'</f>
        <v>0</v>
      </c>
      <c r="H59" s="207">
        <f>[1]!'AI[55].ZH'</f>
        <v>300</v>
      </c>
      <c r="I59" s="221" t="s">
        <v>366</v>
      </c>
      <c r="J59" s="207">
        <f>[1]!'AI[55].RL.V'</f>
        <v>0</v>
      </c>
      <c r="K59" s="207">
        <f>[1]!'AI[55].RH.V'</f>
        <v>240</v>
      </c>
      <c r="L59" s="207">
        <f>[1]!'AI[55].L.V'</f>
        <v>0</v>
      </c>
      <c r="M59" s="207">
        <f>[1]!'AI[55].H.V'</f>
        <v>170</v>
      </c>
      <c r="N59" s="207">
        <f>[1]!'AI[55].LL.V'</f>
        <v>0</v>
      </c>
      <c r="O59" s="207">
        <f>[1]!'AI[55].HH.V'</f>
        <v>240</v>
      </c>
      <c r="P59" s="223">
        <v>1</v>
      </c>
      <c r="Q59" s="224">
        <v>0</v>
      </c>
      <c r="R59" s="184"/>
      <c r="T59" s="207">
        <f>[1]!'AI[55].group'</f>
        <v>2</v>
      </c>
      <c r="X59" s="203">
        <f>[1]!'AI[55].EN'</f>
        <v>1</v>
      </c>
      <c r="Y59" s="207">
        <f>[1]!'AI[55].i'</f>
        <v>2.8266910000000001E-3</v>
      </c>
      <c r="Z59" s="207">
        <f>[1]!'AI[55].isForce'</f>
        <v>0</v>
      </c>
      <c r="AA59" s="207" t="e">
        <f>[1]!'AI[55].vRaw'</f>
        <v>#REF!</v>
      </c>
      <c r="AB59" s="203">
        <f>[1]!'AI[55].isCorrect'</f>
        <v>0</v>
      </c>
      <c r="AC59" s="207" t="e">
        <f>[1]!'AI[55].vCorrect'</f>
        <v>#REF!</v>
      </c>
      <c r="AD59" s="207">
        <f>[1]!'AI[55].v'</f>
        <v>0</v>
      </c>
      <c r="AE59" s="203" t="e">
        <f>[1]!'AI[55].isCut'</f>
        <v>#REF!</v>
      </c>
      <c r="AF59" s="207" t="e">
        <f>[1]!'AI[55].vCut'</f>
        <v>#REF!</v>
      </c>
      <c r="AG59" s="208"/>
      <c r="AH59" s="207">
        <f>[1]!'AI[55].break.sgn'</f>
        <v>1</v>
      </c>
      <c r="AI59" s="208"/>
      <c r="AJ59" s="207">
        <f>[1]!'AI[55].ZL'</f>
        <v>0</v>
      </c>
      <c r="AK59" s="207">
        <f>[1]!'AI[55].ZH'</f>
        <v>300</v>
      </c>
      <c r="AL59" s="208"/>
      <c r="AM59" s="203">
        <f>[1]!'AI[55].RL.EN'</f>
        <v>1</v>
      </c>
      <c r="AN59" s="207">
        <f>[1]!'AI[55].RL.V'</f>
        <v>0</v>
      </c>
      <c r="AO59" s="207">
        <f>[1]!'AI[55].RL.fix'</f>
        <v>0</v>
      </c>
      <c r="AP59" s="208"/>
      <c r="AQ59" s="203">
        <f>[1]!'AI[55].RH.EN'</f>
        <v>1</v>
      </c>
      <c r="AR59" s="207">
        <f>[1]!'AI[55].RH.V'</f>
        <v>240</v>
      </c>
      <c r="AS59" s="207">
        <f>[1]!'AI[55].RH.fix'</f>
        <v>0</v>
      </c>
      <c r="AT59" s="208"/>
      <c r="AU59" s="203">
        <f>[1]!'AI[55].L.EN'</f>
        <v>0</v>
      </c>
      <c r="AV59" s="207">
        <f>[1]!'AI[55].L.V'</f>
        <v>0</v>
      </c>
      <c r="AW59" s="207">
        <f>[1]!'AI[55].L.fix'</f>
        <v>0</v>
      </c>
      <c r="AX59" s="208"/>
      <c r="AY59" s="203">
        <f>[1]!'AI[55].H.EN'</f>
        <v>1</v>
      </c>
      <c r="AZ59" s="207">
        <f>[1]!'AI[55].H.V'</f>
        <v>170</v>
      </c>
      <c r="BA59" s="207">
        <f>[1]!'AI[55].H.fix'</f>
        <v>0</v>
      </c>
      <c r="BB59" s="208"/>
      <c r="BC59" s="203">
        <f>[1]!'AI[55].LL.EN'</f>
        <v>0</v>
      </c>
      <c r="BD59" s="207">
        <f>[1]!'AI[55].LL.V'</f>
        <v>0</v>
      </c>
      <c r="BE59" s="207">
        <f>[1]!'AI[55].LL.fix'</f>
        <v>0</v>
      </c>
      <c r="BF59" s="208"/>
      <c r="BG59" s="203">
        <f>[1]!'AI[55].HH.EN'</f>
        <v>1</v>
      </c>
      <c r="BH59" s="207">
        <f>[1]!'AI[55].HH.V'</f>
        <v>240</v>
      </c>
      <c r="BI59" s="207">
        <f>[1]!'AI[55].HH.fix'</f>
        <v>0</v>
      </c>
      <c r="BJ59" s="209"/>
      <c r="BK59" s="207">
        <f>[1]!'AI[55].group'</f>
        <v>2</v>
      </c>
      <c r="BL59" s="207">
        <f>[1]!'AI[55].state'</f>
        <v>4</v>
      </c>
      <c r="BM59" s="207">
        <f>[1]!'AI[55].isInvScale'</f>
        <v>0</v>
      </c>
    </row>
    <row r="60" spans="1:65">
      <c r="A60" s="445"/>
      <c r="B60" s="446"/>
      <c r="C60" s="221">
        <v>8</v>
      </c>
      <c r="D60" s="221">
        <v>8</v>
      </c>
      <c r="E60" s="222" t="s">
        <v>381</v>
      </c>
      <c r="F60" s="222" t="s">
        <v>382</v>
      </c>
      <c r="G60" s="207">
        <f>[1]!'AI[56].ZL'</f>
        <v>0</v>
      </c>
      <c r="H60" s="207">
        <f>[1]!'AI[56].ZH'</f>
        <v>300</v>
      </c>
      <c r="I60" s="221" t="s">
        <v>383</v>
      </c>
      <c r="J60" s="207">
        <f>[1]!'AI[56].RL.V'</f>
        <v>130</v>
      </c>
      <c r="K60" s="207">
        <f>[1]!'AI[56].RH.V'</f>
        <v>280</v>
      </c>
      <c r="L60" s="207">
        <f>[1]!'AI[56].L.V'</f>
        <v>0</v>
      </c>
      <c r="M60" s="207">
        <f>[1]!'AI[56].H.V'</f>
        <v>0</v>
      </c>
      <c r="N60" s="207">
        <f>[1]!'AI[56].LL.V'</f>
        <v>0</v>
      </c>
      <c r="O60" s="207">
        <f>[1]!'AI[56].HH.V'</f>
        <v>0</v>
      </c>
      <c r="P60" s="223">
        <v>1</v>
      </c>
      <c r="Q60" s="224"/>
      <c r="R60" s="184"/>
      <c r="T60" s="207">
        <f>[1]!'AI[56].group'</f>
        <v>2</v>
      </c>
      <c r="X60" s="203">
        <f>[1]!'AI[56].EN'</f>
        <v>1</v>
      </c>
      <c r="Y60" s="207">
        <f>[1]!'AI[56].i'</f>
        <v>2.8266910000000001E-3</v>
      </c>
      <c r="Z60" s="207">
        <f>[1]!'AI[56].isForce'</f>
        <v>0</v>
      </c>
      <c r="AA60" s="207" t="e">
        <f>[1]!'AI[56].vRaw'</f>
        <v>#REF!</v>
      </c>
      <c r="AB60" s="203">
        <f>[1]!'AI[56].isCorrect'</f>
        <v>0</v>
      </c>
      <c r="AC60" s="207" t="e">
        <f>[1]!'AI[56].vCorrect'</f>
        <v>#REF!</v>
      </c>
      <c r="AD60" s="207">
        <f>[1]!'AI[56].v'</f>
        <v>0</v>
      </c>
      <c r="AE60" s="203" t="e">
        <f>[1]!'AI[56].isCut'</f>
        <v>#REF!</v>
      </c>
      <c r="AF60" s="207" t="e">
        <f>[1]!'AI[56].vCut'</f>
        <v>#REF!</v>
      </c>
      <c r="AG60" s="208"/>
      <c r="AH60" s="207">
        <f>[1]!'AI[56].break.sgn'</f>
        <v>1</v>
      </c>
      <c r="AI60" s="208"/>
      <c r="AJ60" s="207">
        <f>[1]!'AI[56].ZL'</f>
        <v>0</v>
      </c>
      <c r="AK60" s="207">
        <f>[1]!'AI[56].ZH'</f>
        <v>300</v>
      </c>
      <c r="AL60" s="208"/>
      <c r="AM60" s="203">
        <f>[1]!'AI[56].RL.EN'</f>
        <v>1</v>
      </c>
      <c r="AN60" s="207">
        <f>[1]!'AI[56].RL.V'</f>
        <v>130</v>
      </c>
      <c r="AO60" s="207">
        <f>[1]!'AI[56].RL.fix'</f>
        <v>0</v>
      </c>
      <c r="AP60" s="208"/>
      <c r="AQ60" s="203">
        <f>[1]!'AI[56].RH.EN'</f>
        <v>1</v>
      </c>
      <c r="AR60" s="207">
        <f>[1]!'AI[56].RH.V'</f>
        <v>280</v>
      </c>
      <c r="AS60" s="207">
        <f>[1]!'AI[56].RH.fix'</f>
        <v>0</v>
      </c>
      <c r="AT60" s="208"/>
      <c r="AU60" s="203">
        <f>[1]!'AI[56].L.EN'</f>
        <v>0</v>
      </c>
      <c r="AV60" s="207">
        <f>[1]!'AI[56].L.V'</f>
        <v>0</v>
      </c>
      <c r="AW60" s="207">
        <f>[1]!'AI[56].L.fix'</f>
        <v>0</v>
      </c>
      <c r="AX60" s="208"/>
      <c r="AY60" s="203">
        <f>[1]!'AI[56].H.EN'</f>
        <v>0</v>
      </c>
      <c r="AZ60" s="207">
        <f>[1]!'AI[56].H.V'</f>
        <v>0</v>
      </c>
      <c r="BA60" s="207">
        <f>[1]!'AI[56].H.fix'</f>
        <v>0</v>
      </c>
      <c r="BB60" s="208"/>
      <c r="BC60" s="203">
        <f>[1]!'AI[56].LL.EN'</f>
        <v>0</v>
      </c>
      <c r="BD60" s="207">
        <f>[1]!'AI[56].LL.V'</f>
        <v>0</v>
      </c>
      <c r="BE60" s="207">
        <f>[1]!'AI[56].LL.fix'</f>
        <v>0</v>
      </c>
      <c r="BF60" s="208"/>
      <c r="BG60" s="203">
        <f>[1]!'AI[56].HH.EN'</f>
        <v>0</v>
      </c>
      <c r="BH60" s="207">
        <f>[1]!'AI[56].HH.V'</f>
        <v>0</v>
      </c>
      <c r="BI60" s="207">
        <f>[1]!'AI[56].HH.fix'</f>
        <v>0</v>
      </c>
      <c r="BJ60" s="209"/>
      <c r="BK60" s="207">
        <f>[1]!'AI[56].group'</f>
        <v>2</v>
      </c>
      <c r="BL60" s="207">
        <f>[1]!'AI[56].state'</f>
        <v>4</v>
      </c>
      <c r="BM60" s="207">
        <f>[1]!'AI[56].isInvScale'</f>
        <v>0</v>
      </c>
    </row>
    <row r="61" spans="1:65">
      <c r="A61" s="445"/>
      <c r="B61" s="446"/>
      <c r="C61" s="221">
        <v>9</v>
      </c>
      <c r="D61" s="221">
        <v>9</v>
      </c>
      <c r="E61" s="222" t="s">
        <v>384</v>
      </c>
      <c r="F61" s="222" t="s">
        <v>385</v>
      </c>
      <c r="G61" s="207">
        <f>[1]!'AI[57].ZL'</f>
        <v>0</v>
      </c>
      <c r="H61" s="207">
        <f>[1]!'AI[57].ZH'</f>
        <v>200</v>
      </c>
      <c r="I61" s="221" t="s">
        <v>383</v>
      </c>
      <c r="J61" s="207">
        <f>[1]!'AI[57].RL.V'</f>
        <v>115</v>
      </c>
      <c r="K61" s="207">
        <f>[1]!'AI[57].RH.V'</f>
        <v>155</v>
      </c>
      <c r="L61" s="207">
        <f>[1]!'AI[57].L.V'</f>
        <v>0</v>
      </c>
      <c r="M61" s="207">
        <f>[1]!'AI[57].H.V'</f>
        <v>156</v>
      </c>
      <c r="N61" s="207">
        <f>[1]!'AI[57].LL.V'</f>
        <v>0</v>
      </c>
      <c r="O61" s="207">
        <f>[1]!'AI[57].HH.V'</f>
        <v>0</v>
      </c>
      <c r="P61" s="223">
        <v>1</v>
      </c>
      <c r="Q61" s="224"/>
      <c r="R61" s="184"/>
      <c r="T61" s="207">
        <f>[1]!'AI[57].group'</f>
        <v>2</v>
      </c>
      <c r="X61" s="203">
        <f>[1]!'AI[57].EN'</f>
        <v>1</v>
      </c>
      <c r="Y61" s="207">
        <f>[1]!'AI[57].i'</f>
        <v>2.8266910000000001E-3</v>
      </c>
      <c r="Z61" s="207">
        <f>[1]!'AI[57].isForce'</f>
        <v>0</v>
      </c>
      <c r="AA61" s="207" t="e">
        <f>[1]!'AI[57].vRaw'</f>
        <v>#REF!</v>
      </c>
      <c r="AB61" s="203">
        <f>[1]!'AI[57].isCorrect'</f>
        <v>0</v>
      </c>
      <c r="AC61" s="207" t="e">
        <f>[1]!'AI[57].vCorrect'</f>
        <v>#REF!</v>
      </c>
      <c r="AD61" s="207">
        <f>[1]!'AI[57].v'</f>
        <v>0</v>
      </c>
      <c r="AE61" s="203" t="e">
        <f>[1]!'AI[57].isCut'</f>
        <v>#REF!</v>
      </c>
      <c r="AF61" s="207" t="e">
        <f>[1]!'AI[57].vCut'</f>
        <v>#REF!</v>
      </c>
      <c r="AG61" s="208"/>
      <c r="AH61" s="207">
        <f>[1]!'AI[57].break.sgn'</f>
        <v>1</v>
      </c>
      <c r="AI61" s="208"/>
      <c r="AJ61" s="207">
        <f>[1]!'AI[57].ZL'</f>
        <v>0</v>
      </c>
      <c r="AK61" s="207">
        <f>[1]!'AI[57].ZH'</f>
        <v>200</v>
      </c>
      <c r="AL61" s="208"/>
      <c r="AM61" s="203">
        <f>[1]!'AI[57].RL.EN'</f>
        <v>1</v>
      </c>
      <c r="AN61" s="207">
        <f>[1]!'AI[57].RL.V'</f>
        <v>115</v>
      </c>
      <c r="AO61" s="207">
        <f>[1]!'AI[57].RL.fix'</f>
        <v>0</v>
      </c>
      <c r="AP61" s="208"/>
      <c r="AQ61" s="203">
        <f>[1]!'AI[57].RH.EN'</f>
        <v>1</v>
      </c>
      <c r="AR61" s="207">
        <f>[1]!'AI[57].RH.V'</f>
        <v>155</v>
      </c>
      <c r="AS61" s="207">
        <f>[1]!'AI[57].RH.fix'</f>
        <v>0</v>
      </c>
      <c r="AT61" s="208"/>
      <c r="AU61" s="203">
        <f>[1]!'AI[57].L.EN'</f>
        <v>0</v>
      </c>
      <c r="AV61" s="207">
        <f>[1]!'AI[57].L.V'</f>
        <v>0</v>
      </c>
      <c r="AW61" s="207">
        <f>[1]!'AI[57].L.fix'</f>
        <v>0</v>
      </c>
      <c r="AX61" s="208"/>
      <c r="AY61" s="203">
        <f>[1]!'AI[57].H.EN'</f>
        <v>1</v>
      </c>
      <c r="AZ61" s="207">
        <f>[1]!'AI[57].H.V'</f>
        <v>156</v>
      </c>
      <c r="BA61" s="207">
        <f>[1]!'AI[57].H.fix'</f>
        <v>0</v>
      </c>
      <c r="BB61" s="208"/>
      <c r="BC61" s="203">
        <f>[1]!'AI[57].LL.EN'</f>
        <v>0</v>
      </c>
      <c r="BD61" s="207">
        <f>[1]!'AI[57].LL.V'</f>
        <v>0</v>
      </c>
      <c r="BE61" s="207">
        <f>[1]!'AI[57].LL.fix'</f>
        <v>0</v>
      </c>
      <c r="BF61" s="208"/>
      <c r="BG61" s="203">
        <f>[1]!'AI[57].HH.EN'</f>
        <v>0</v>
      </c>
      <c r="BH61" s="207">
        <f>[1]!'AI[57].HH.V'</f>
        <v>0</v>
      </c>
      <c r="BI61" s="207">
        <f>[1]!'AI[57].HH.fix'</f>
        <v>0</v>
      </c>
      <c r="BJ61" s="209"/>
      <c r="BK61" s="207">
        <f>[1]!'AI[57].group'</f>
        <v>2</v>
      </c>
      <c r="BL61" s="207">
        <f>[1]!'AI[57].state'</f>
        <v>4</v>
      </c>
      <c r="BM61" s="207">
        <f>[1]!'AI[57].isInvScale'</f>
        <v>0</v>
      </c>
    </row>
    <row r="62" spans="1:65">
      <c r="A62" s="445"/>
      <c r="B62" s="446"/>
      <c r="C62" s="221">
        <v>10</v>
      </c>
      <c r="D62" s="221">
        <v>10</v>
      </c>
      <c r="E62" s="222" t="s">
        <v>386</v>
      </c>
      <c r="F62" s="222" t="s">
        <v>387</v>
      </c>
      <c r="G62" s="207">
        <f>[1]!'AI[58].ZL'</f>
        <v>0</v>
      </c>
      <c r="H62" s="207">
        <f>[1]!'AI[58].ZH'</f>
        <v>350</v>
      </c>
      <c r="I62" s="221" t="s">
        <v>366</v>
      </c>
      <c r="J62" s="207">
        <f>[1]!'AI[58].RL.V'</f>
        <v>32</v>
      </c>
      <c r="K62" s="207">
        <f>[1]!'AI[58].RH.V'</f>
        <v>320</v>
      </c>
      <c r="L62" s="207">
        <f>[1]!'AI[58].L.V'</f>
        <v>0</v>
      </c>
      <c r="M62" s="207">
        <f>[1]!'AI[58].H.V'</f>
        <v>0</v>
      </c>
      <c r="N62" s="207">
        <f>[1]!'AI[58].LL.V'</f>
        <v>0</v>
      </c>
      <c r="O62" s="207">
        <f>[1]!'AI[58].HH.V'</f>
        <v>0</v>
      </c>
      <c r="P62" s="223">
        <v>4</v>
      </c>
      <c r="Q62" s="224">
        <v>3</v>
      </c>
      <c r="R62" s="184"/>
      <c r="T62" s="207">
        <f>[1]!'AI[58].group'</f>
        <v>2</v>
      </c>
      <c r="X62" s="203">
        <f>[1]!'AI[58].EN'</f>
        <v>0</v>
      </c>
      <c r="Y62" s="207">
        <f>[1]!'AI[58].i'</f>
        <v>0</v>
      </c>
      <c r="Z62" s="207">
        <f>[1]!'AI[58].isForce'</f>
        <v>0</v>
      </c>
      <c r="AA62" s="207" t="e">
        <f>[1]!'AI[58].vRaw'</f>
        <v>#REF!</v>
      </c>
      <c r="AB62" s="203">
        <f>[1]!'AI[58].isCorrect'</f>
        <v>0</v>
      </c>
      <c r="AC62" s="207" t="e">
        <f>[1]!'AI[58].vCorrect'</f>
        <v>#REF!</v>
      </c>
      <c r="AD62" s="207">
        <f>[1]!'AI[58].v'</f>
        <v>0</v>
      </c>
      <c r="AE62" s="203" t="e">
        <f>[1]!'AI[58].isCut'</f>
        <v>#REF!</v>
      </c>
      <c r="AF62" s="207" t="e">
        <f>[1]!'AI[58].vCut'</f>
        <v>#REF!</v>
      </c>
      <c r="AG62" s="208"/>
      <c r="AH62" s="207">
        <f>[1]!'AI[58].break.sgn'</f>
        <v>0</v>
      </c>
      <c r="AI62" s="208"/>
      <c r="AJ62" s="207">
        <f>[1]!'AI[58].ZL'</f>
        <v>0</v>
      </c>
      <c r="AK62" s="207">
        <f>[1]!'AI[58].ZH'</f>
        <v>350</v>
      </c>
      <c r="AL62" s="208"/>
      <c r="AM62" s="203">
        <f>[1]!'AI[58].RL.EN'</f>
        <v>1</v>
      </c>
      <c r="AN62" s="207">
        <f>[1]!'AI[58].RL.V'</f>
        <v>32</v>
      </c>
      <c r="AO62" s="207">
        <f>[1]!'AI[58].RL.fix'</f>
        <v>0</v>
      </c>
      <c r="AP62" s="208"/>
      <c r="AQ62" s="203">
        <f>[1]!'AI[58].RH.EN'</f>
        <v>1</v>
      </c>
      <c r="AR62" s="207">
        <f>[1]!'AI[58].RH.V'</f>
        <v>320</v>
      </c>
      <c r="AS62" s="207">
        <f>[1]!'AI[58].RH.fix'</f>
        <v>0</v>
      </c>
      <c r="AT62" s="208"/>
      <c r="AU62" s="203">
        <f>[1]!'AI[58].L.EN'</f>
        <v>0</v>
      </c>
      <c r="AV62" s="207">
        <f>[1]!'AI[58].L.V'</f>
        <v>0</v>
      </c>
      <c r="AW62" s="207">
        <f>[1]!'AI[58].L.fix'</f>
        <v>0</v>
      </c>
      <c r="AX62" s="208"/>
      <c r="AY62" s="203">
        <f>[1]!'AI[58].H.EN'</f>
        <v>0</v>
      </c>
      <c r="AZ62" s="207">
        <f>[1]!'AI[58].H.V'</f>
        <v>0</v>
      </c>
      <c r="BA62" s="207">
        <f>[1]!'AI[58].H.fix'</f>
        <v>0</v>
      </c>
      <c r="BB62" s="208"/>
      <c r="BC62" s="203">
        <f>[1]!'AI[58].LL.EN'</f>
        <v>0</v>
      </c>
      <c r="BD62" s="207">
        <f>[1]!'AI[58].LL.V'</f>
        <v>0</v>
      </c>
      <c r="BE62" s="207">
        <f>[1]!'AI[58].LL.fix'</f>
        <v>0</v>
      </c>
      <c r="BF62" s="208"/>
      <c r="BG62" s="203">
        <f>[1]!'AI[58].HH.EN'</f>
        <v>0</v>
      </c>
      <c r="BH62" s="207">
        <f>[1]!'AI[58].HH.V'</f>
        <v>0</v>
      </c>
      <c r="BI62" s="207">
        <f>[1]!'AI[58].HH.fix'</f>
        <v>0</v>
      </c>
      <c r="BJ62" s="210"/>
      <c r="BK62" s="207">
        <f>[1]!'AI[58].group'</f>
        <v>2</v>
      </c>
      <c r="BL62" s="207">
        <f>[1]!'AI[58].state'</f>
        <v>4</v>
      </c>
      <c r="BM62" s="207">
        <f>[1]!'AI[58].isInvScale'</f>
        <v>0</v>
      </c>
    </row>
    <row r="63" spans="1:65">
      <c r="A63" s="445"/>
      <c r="B63" s="446"/>
      <c r="C63" s="221">
        <v>11</v>
      </c>
      <c r="D63" s="221">
        <v>11</v>
      </c>
      <c r="E63" s="222" t="s">
        <v>388</v>
      </c>
      <c r="F63" s="222" t="s">
        <v>389</v>
      </c>
      <c r="G63" s="207">
        <f>[1]!'AI[59].ZL'</f>
        <v>0</v>
      </c>
      <c r="H63" s="207">
        <f>[1]!'AI[59].ZH'</f>
        <v>350</v>
      </c>
      <c r="I63" s="221" t="s">
        <v>366</v>
      </c>
      <c r="J63" s="207">
        <f>[1]!'AI[59].RL.V'</f>
        <v>32</v>
      </c>
      <c r="K63" s="207">
        <f>[1]!'AI[59].RH.V'</f>
        <v>320</v>
      </c>
      <c r="L63" s="207">
        <f>[1]!'AI[59].L.V'</f>
        <v>0</v>
      </c>
      <c r="M63" s="207">
        <f>[1]!'AI[59].H.V'</f>
        <v>0</v>
      </c>
      <c r="N63" s="207">
        <f>[1]!'AI[59].LL.V'</f>
        <v>0</v>
      </c>
      <c r="O63" s="207">
        <f>[1]!'AI[59].HH.V'</f>
        <v>0</v>
      </c>
      <c r="P63" s="223">
        <v>4</v>
      </c>
      <c r="Q63" s="224">
        <v>3</v>
      </c>
      <c r="R63" s="184"/>
      <c r="T63" s="207">
        <f>[1]!'AI[59].group'</f>
        <v>2</v>
      </c>
      <c r="X63" s="203">
        <f>[1]!'AI[59].EN'</f>
        <v>0</v>
      </c>
      <c r="Y63" s="207">
        <f>[1]!'AI[59].i'</f>
        <v>0</v>
      </c>
      <c r="Z63" s="207">
        <f>[1]!'AI[59].isForce'</f>
        <v>0</v>
      </c>
      <c r="AA63" s="207" t="e">
        <f>[1]!'AI[59].vRaw'</f>
        <v>#REF!</v>
      </c>
      <c r="AB63" s="203">
        <f>[1]!'AI[59].isCorrect'</f>
        <v>0</v>
      </c>
      <c r="AC63" s="207" t="e">
        <f>[1]!'AI[59].vCorrect'</f>
        <v>#REF!</v>
      </c>
      <c r="AD63" s="207">
        <f>[1]!'AI[59].v'</f>
        <v>0</v>
      </c>
      <c r="AE63" s="203" t="e">
        <f>[1]!'AI[59].isCut'</f>
        <v>#REF!</v>
      </c>
      <c r="AF63" s="207" t="e">
        <f>[1]!'AI[59].vCut'</f>
        <v>#REF!</v>
      </c>
      <c r="AG63" s="208"/>
      <c r="AH63" s="207">
        <f>[1]!'AI[59].break.sgn'</f>
        <v>0</v>
      </c>
      <c r="AI63" s="208"/>
      <c r="AJ63" s="207">
        <f>[1]!'AI[59].ZL'</f>
        <v>0</v>
      </c>
      <c r="AK63" s="207">
        <f>[1]!'AI[59].ZH'</f>
        <v>350</v>
      </c>
      <c r="AL63" s="208"/>
      <c r="AM63" s="203">
        <f>[1]!'AI[59].RL.EN'</f>
        <v>1</v>
      </c>
      <c r="AN63" s="207">
        <f>[1]!'AI[59].RL.V'</f>
        <v>32</v>
      </c>
      <c r="AO63" s="207">
        <f>[1]!'AI[59].RL.fix'</f>
        <v>0</v>
      </c>
      <c r="AP63" s="208"/>
      <c r="AQ63" s="203">
        <f>[1]!'AI[59].RH.EN'</f>
        <v>1</v>
      </c>
      <c r="AR63" s="207">
        <f>[1]!'AI[59].RH.V'</f>
        <v>320</v>
      </c>
      <c r="AS63" s="207">
        <f>[1]!'AI[59].RH.fix'</f>
        <v>0</v>
      </c>
      <c r="AT63" s="208"/>
      <c r="AU63" s="203">
        <f>[1]!'AI[59].L.EN'</f>
        <v>0</v>
      </c>
      <c r="AV63" s="207">
        <f>[1]!'AI[59].L.V'</f>
        <v>0</v>
      </c>
      <c r="AW63" s="207">
        <f>[1]!'AI[59].L.fix'</f>
        <v>0</v>
      </c>
      <c r="AX63" s="208"/>
      <c r="AY63" s="203">
        <f>[1]!'AI[59].H.EN'</f>
        <v>0</v>
      </c>
      <c r="AZ63" s="207">
        <f>[1]!'AI[59].H.V'</f>
        <v>0</v>
      </c>
      <c r="BA63" s="207">
        <f>[1]!'AI[59].H.fix'</f>
        <v>0</v>
      </c>
      <c r="BB63" s="208"/>
      <c r="BC63" s="203">
        <f>[1]!'AI[59].LL.EN'</f>
        <v>0</v>
      </c>
      <c r="BD63" s="207">
        <f>[1]!'AI[59].LL.V'</f>
        <v>0</v>
      </c>
      <c r="BE63" s="207">
        <f>[1]!'AI[59].LL.fix'</f>
        <v>0</v>
      </c>
      <c r="BF63" s="208"/>
      <c r="BG63" s="203">
        <f>[1]!'AI[59].HH.EN'</f>
        <v>0</v>
      </c>
      <c r="BH63" s="207">
        <f>[1]!'AI[59].HH.V'</f>
        <v>0</v>
      </c>
      <c r="BI63" s="207">
        <f>[1]!'AI[59].HH.fix'</f>
        <v>0</v>
      </c>
      <c r="BJ63" s="210"/>
      <c r="BK63" s="207">
        <f>[1]!'AI[59].group'</f>
        <v>2</v>
      </c>
      <c r="BL63" s="207">
        <f>[1]!'AI[59].state'</f>
        <v>4</v>
      </c>
      <c r="BM63" s="207">
        <f>[1]!'AI[59].isInvScale'</f>
        <v>0</v>
      </c>
    </row>
    <row r="64" spans="1:65">
      <c r="A64" s="445"/>
      <c r="B64" s="446"/>
      <c r="C64" s="221">
        <v>12</v>
      </c>
      <c r="D64" s="221">
        <v>12</v>
      </c>
      <c r="E64" s="222" t="s">
        <v>390</v>
      </c>
      <c r="F64" s="222" t="s">
        <v>391</v>
      </c>
      <c r="G64" s="207">
        <f>[1]!'AI[60].ZL'</f>
        <v>0</v>
      </c>
      <c r="H64" s="207">
        <f>[1]!'AI[60].ZH'</f>
        <v>20</v>
      </c>
      <c r="I64" s="221" t="s">
        <v>366</v>
      </c>
      <c r="J64" s="207">
        <f>[1]!'AI[60].RL.V'</f>
        <v>5</v>
      </c>
      <c r="K64" s="207">
        <f>[1]!'AI[60].RH.V'</f>
        <v>13</v>
      </c>
      <c r="L64" s="207">
        <f>[1]!'AI[60].L.V'</f>
        <v>0</v>
      </c>
      <c r="M64" s="207">
        <f>[1]!'AI[60].H.V'</f>
        <v>13</v>
      </c>
      <c r="N64" s="207">
        <f>[1]!'AI[60].LL.V'</f>
        <v>0</v>
      </c>
      <c r="O64" s="207">
        <f>[1]!'AI[60].HH.V'</f>
        <v>14</v>
      </c>
      <c r="P64" s="223">
        <v>4</v>
      </c>
      <c r="Q64" s="224">
        <v>3</v>
      </c>
      <c r="R64" s="184"/>
      <c r="T64" s="207">
        <f>[1]!'AI[60].group'</f>
        <v>2</v>
      </c>
      <c r="X64" s="207">
        <f>[1]!'AI[60].EN'</f>
        <v>1</v>
      </c>
      <c r="Y64" s="207">
        <f>[1]!'AI[60].i'</f>
        <v>2.5129319999999998E-3</v>
      </c>
      <c r="Z64" s="207">
        <f>[1]!'AI[60].isForce'</f>
        <v>0</v>
      </c>
      <c r="AA64" s="207" t="e">
        <f>[1]!'AI[60].vRaw'</f>
        <v>#REF!</v>
      </c>
      <c r="AB64" s="207">
        <f>[1]!'AI[60].isCorrect'</f>
        <v>0</v>
      </c>
      <c r="AC64" s="207" t="e">
        <f>[1]!'AI[60].vCorrect'</f>
        <v>#REF!</v>
      </c>
      <c r="AD64" s="207">
        <f>[1]!'AI[60].v'</f>
        <v>0</v>
      </c>
      <c r="AE64" s="207" t="e">
        <f>[1]!'AI[60].isCut'</f>
        <v>#REF!</v>
      </c>
      <c r="AF64" s="207" t="e">
        <f>[1]!'AI[60].vCut'</f>
        <v>#REF!</v>
      </c>
      <c r="AG64" s="208"/>
      <c r="AH64" s="207">
        <f>[1]!'AI[60].break.sgn'</f>
        <v>1</v>
      </c>
      <c r="AI64" s="208"/>
      <c r="AJ64" s="207">
        <f>[1]!'AI[60].ZL'</f>
        <v>0</v>
      </c>
      <c r="AK64" s="207">
        <f>[1]!'AI[60].ZH'</f>
        <v>20</v>
      </c>
      <c r="AL64" s="208"/>
      <c r="AM64" s="207">
        <f>[1]!'AI[60].RL.EN'</f>
        <v>1</v>
      </c>
      <c r="AN64" s="207">
        <f>[1]!'AI[60].RL.V'</f>
        <v>5</v>
      </c>
      <c r="AO64" s="207">
        <f>[1]!'AI[60].RL.fix'</f>
        <v>0</v>
      </c>
      <c r="AP64" s="208"/>
      <c r="AQ64" s="207">
        <f>[1]!'AI[60].RH.EN'</f>
        <v>1</v>
      </c>
      <c r="AR64" s="207">
        <f>[1]!'AI[60].RH.V'</f>
        <v>13</v>
      </c>
      <c r="AS64" s="207">
        <f>[1]!'AI[60].RH.fix'</f>
        <v>0</v>
      </c>
      <c r="AT64" s="208"/>
      <c r="AU64" s="207">
        <f>[1]!'AI[60].L.EN'</f>
        <v>0</v>
      </c>
      <c r="AV64" s="207">
        <f>[1]!'AI[60].L.V'</f>
        <v>0</v>
      </c>
      <c r="AW64" s="207">
        <f>[1]!'AI[60].L.fix'</f>
        <v>0</v>
      </c>
      <c r="AX64" s="208"/>
      <c r="AY64" s="207">
        <f>[1]!'AI[60].H.EN'</f>
        <v>1</v>
      </c>
      <c r="AZ64" s="207">
        <f>[1]!'AI[60].H.V'</f>
        <v>13</v>
      </c>
      <c r="BA64" s="207">
        <f>[1]!'AI[60].H.fix'</f>
        <v>0</v>
      </c>
      <c r="BB64" s="208"/>
      <c r="BC64" s="207">
        <f>[1]!'AI[60].LL.EN'</f>
        <v>0</v>
      </c>
      <c r="BD64" s="207">
        <f>[1]!'AI[60].LL.V'</f>
        <v>0</v>
      </c>
      <c r="BE64" s="207">
        <f>[1]!'AI[60].LL.fix'</f>
        <v>0</v>
      </c>
      <c r="BF64" s="208"/>
      <c r="BG64" s="207">
        <f>[1]!'AI[60].HH.EN'</f>
        <v>1</v>
      </c>
      <c r="BH64" s="207">
        <f>[1]!'AI[60].HH.V'</f>
        <v>14</v>
      </c>
      <c r="BI64" s="207">
        <f>[1]!'AI[60].HH.fix'</f>
        <v>0</v>
      </c>
      <c r="BJ64" s="210"/>
      <c r="BK64" s="207">
        <f>[1]!'AI[60].group'</f>
        <v>2</v>
      </c>
      <c r="BL64" s="207">
        <f>[1]!'AI[60].state'</f>
        <v>4</v>
      </c>
      <c r="BM64" s="207">
        <f>[1]!'AI[60].isInvScale'</f>
        <v>0</v>
      </c>
    </row>
    <row r="65" spans="1:65">
      <c r="A65" s="445"/>
      <c r="B65" s="446"/>
      <c r="C65" s="221">
        <v>13</v>
      </c>
      <c r="D65" s="221">
        <v>13</v>
      </c>
      <c r="E65" s="222" t="s">
        <v>392</v>
      </c>
      <c r="F65" s="222" t="s">
        <v>393</v>
      </c>
      <c r="G65" s="207">
        <f>[1]!'AI[61].ZL'</f>
        <v>0</v>
      </c>
      <c r="H65" s="207">
        <f>[1]!'AI[61].ZH'</f>
        <v>2</v>
      </c>
      <c r="I65" s="221" t="s">
        <v>366</v>
      </c>
      <c r="J65" s="207">
        <f>[1]!'AI[61].RL.V'</f>
        <v>0.95</v>
      </c>
      <c r="K65" s="207">
        <f>[1]!'AI[61].RH.V'</f>
        <v>1.05</v>
      </c>
      <c r="L65" s="207">
        <f>[1]!'AI[61].L.V'</f>
        <v>0</v>
      </c>
      <c r="M65" s="207">
        <f>[1]!'AI[61].H.V'</f>
        <v>0</v>
      </c>
      <c r="N65" s="207">
        <f>[1]!'AI[61].LL.V'</f>
        <v>0</v>
      </c>
      <c r="O65" s="207">
        <f>[1]!'AI[61].HH.V'</f>
        <v>0</v>
      </c>
      <c r="P65" s="223">
        <v>4</v>
      </c>
      <c r="Q65" s="224">
        <v>3</v>
      </c>
      <c r="R65" s="184"/>
      <c r="T65" s="207">
        <f>[1]!'AI[61].group'</f>
        <v>2</v>
      </c>
      <c r="X65" s="207">
        <f>[1]!'AI[61].EN'</f>
        <v>1</v>
      </c>
      <c r="Y65" s="207">
        <f>[1]!'AI[61].i'</f>
        <v>2.5129319999999998E-3</v>
      </c>
      <c r="Z65" s="207">
        <f>[1]!'AI[61].isForce'</f>
        <v>0</v>
      </c>
      <c r="AA65" s="207" t="e">
        <f>[1]!'AI[61].vRaw'</f>
        <v>#REF!</v>
      </c>
      <c r="AB65" s="207">
        <f>[1]!'AI[61].isCorrect'</f>
        <v>0</v>
      </c>
      <c r="AC65" s="207" t="e">
        <f>[1]!'AI[61].vCorrect'</f>
        <v>#REF!</v>
      </c>
      <c r="AD65" s="207">
        <f>[1]!'AI[61].v'</f>
        <v>0</v>
      </c>
      <c r="AE65" s="207" t="e">
        <f>[1]!'AI[61].isCut'</f>
        <v>#REF!</v>
      </c>
      <c r="AF65" s="207" t="e">
        <f>[1]!'AI[61].vCut'</f>
        <v>#REF!</v>
      </c>
      <c r="AG65" s="208"/>
      <c r="AH65" s="207">
        <f>[1]!'AI[61].break.sgn'</f>
        <v>1</v>
      </c>
      <c r="AI65" s="208"/>
      <c r="AJ65" s="207">
        <f>[1]!'AI[61].ZL'</f>
        <v>0</v>
      </c>
      <c r="AK65" s="207">
        <f>[1]!'AI[61].ZH'</f>
        <v>2</v>
      </c>
      <c r="AL65" s="208"/>
      <c r="AM65" s="207">
        <f>[1]!'AI[61].RL.EN'</f>
        <v>1</v>
      </c>
      <c r="AN65" s="207">
        <f>[1]!'AI[61].RL.V'</f>
        <v>0.95</v>
      </c>
      <c r="AO65" s="207">
        <f>[1]!'AI[61].RL.fix'</f>
        <v>0</v>
      </c>
      <c r="AP65" s="208"/>
      <c r="AQ65" s="207">
        <f>[1]!'AI[61].RH.EN'</f>
        <v>1</v>
      </c>
      <c r="AR65" s="207">
        <f>[1]!'AI[61].RH.V'</f>
        <v>1.05</v>
      </c>
      <c r="AS65" s="207">
        <f>[1]!'AI[61].RH.fix'</f>
        <v>0</v>
      </c>
      <c r="AT65" s="208"/>
      <c r="AU65" s="207">
        <f>[1]!'AI[61].L.EN'</f>
        <v>0</v>
      </c>
      <c r="AV65" s="207">
        <f>[1]!'AI[61].L.V'</f>
        <v>0</v>
      </c>
      <c r="AW65" s="207">
        <f>[1]!'AI[61].L.fix'</f>
        <v>0</v>
      </c>
      <c r="AX65" s="208"/>
      <c r="AY65" s="207">
        <f>[1]!'AI[61].H.EN'</f>
        <v>0</v>
      </c>
      <c r="AZ65" s="207">
        <f>[1]!'AI[61].H.V'</f>
        <v>0</v>
      </c>
      <c r="BA65" s="207">
        <f>[1]!'AI[61].H.fix'</f>
        <v>0</v>
      </c>
      <c r="BB65" s="208"/>
      <c r="BC65" s="207">
        <f>[1]!'AI[61].LL.EN'</f>
        <v>0</v>
      </c>
      <c r="BD65" s="207">
        <f>[1]!'AI[61].LL.V'</f>
        <v>0</v>
      </c>
      <c r="BE65" s="207">
        <f>[1]!'AI[61].LL.fix'</f>
        <v>0</v>
      </c>
      <c r="BF65" s="208"/>
      <c r="BG65" s="207">
        <f>[1]!'AI[61].HH.EN'</f>
        <v>0</v>
      </c>
      <c r="BH65" s="207">
        <f>[1]!'AI[61].HH.V'</f>
        <v>0</v>
      </c>
      <c r="BI65" s="207">
        <f>[1]!'AI[61].HH.fix'</f>
        <v>0</v>
      </c>
      <c r="BJ65" s="210"/>
      <c r="BK65" s="207">
        <f>[1]!'AI[61].group'</f>
        <v>2</v>
      </c>
      <c r="BL65" s="207">
        <f>[1]!'AI[61].state'</f>
        <v>4</v>
      </c>
      <c r="BM65" s="207">
        <f>[1]!'AI[61].isInvScale'</f>
        <v>0</v>
      </c>
    </row>
    <row r="66" spans="1:65">
      <c r="A66" s="445"/>
      <c r="B66" s="446"/>
      <c r="C66" s="221">
        <v>14</v>
      </c>
      <c r="D66" s="221">
        <v>14</v>
      </c>
      <c r="E66" s="222" t="s">
        <v>394</v>
      </c>
      <c r="F66" s="222" t="s">
        <v>395</v>
      </c>
      <c r="G66" s="207">
        <f>[1]!'AI[62].ZL'</f>
        <v>0</v>
      </c>
      <c r="H66" s="207">
        <f>[1]!'AI[62].ZH'</f>
        <v>0</v>
      </c>
      <c r="I66" s="221" t="s">
        <v>366</v>
      </c>
      <c r="J66" s="207">
        <f>[1]!'AI[62].RL.V'</f>
        <v>0</v>
      </c>
      <c r="K66" s="207">
        <f>[1]!'AI[62].RH.V'</f>
        <v>0</v>
      </c>
      <c r="L66" s="207">
        <f>[1]!'AI[62].L.V'</f>
        <v>0</v>
      </c>
      <c r="M66" s="207">
        <f>[1]!'AI[62].H.V'</f>
        <v>0</v>
      </c>
      <c r="N66" s="207">
        <f>[1]!'AI[62].LL.V'</f>
        <v>0</v>
      </c>
      <c r="O66" s="207">
        <f>[1]!'AI[62].HH.V'</f>
        <v>0</v>
      </c>
      <c r="P66" s="223">
        <v>4</v>
      </c>
      <c r="Q66" s="224">
        <v>3</v>
      </c>
      <c r="R66" s="184"/>
      <c r="T66" s="207">
        <f>[1]!'AI[62].group'</f>
        <v>0</v>
      </c>
      <c r="X66" s="207">
        <f>[1]!'AI[62].EN'</f>
        <v>0</v>
      </c>
      <c r="Y66" s="207">
        <f>[1]!'AI[62].i'</f>
        <v>0</v>
      </c>
      <c r="Z66" s="207">
        <f>[1]!'AI[62].isForce'</f>
        <v>0</v>
      </c>
      <c r="AA66" s="207" t="e">
        <f>[1]!'AI[62].vRaw'</f>
        <v>#REF!</v>
      </c>
      <c r="AB66" s="207">
        <f>[1]!'AI[62].isCorrect'</f>
        <v>0</v>
      </c>
      <c r="AC66" s="207" t="e">
        <f>[1]!'AI[62].vCorrect'</f>
        <v>#REF!</v>
      </c>
      <c r="AD66" s="207">
        <f>[1]!'AI[62].v'</f>
        <v>0</v>
      </c>
      <c r="AE66" s="207" t="e">
        <f>[1]!'AI[62].isCut'</f>
        <v>#REF!</v>
      </c>
      <c r="AF66" s="207" t="e">
        <f>[1]!'AI[62].vCut'</f>
        <v>#REF!</v>
      </c>
      <c r="AG66" s="208"/>
      <c r="AH66" s="207">
        <f>[1]!'AI[62].break.sgn'</f>
        <v>0</v>
      </c>
      <c r="AI66" s="208"/>
      <c r="AJ66" s="207">
        <f>[1]!'AI[62].ZL'</f>
        <v>0</v>
      </c>
      <c r="AK66" s="207">
        <f>[1]!'AI[62].ZH'</f>
        <v>0</v>
      </c>
      <c r="AL66" s="208"/>
      <c r="AM66" s="207">
        <f>[1]!'AI[62].RL.EN'</f>
        <v>0</v>
      </c>
      <c r="AN66" s="207">
        <f>[1]!'AI[62].RL.V'</f>
        <v>0</v>
      </c>
      <c r="AO66" s="207">
        <f>[1]!'AI[62].RL.fix'</f>
        <v>0</v>
      </c>
      <c r="AP66" s="208"/>
      <c r="AQ66" s="207">
        <f>[1]!'AI[62].RH.EN'</f>
        <v>0</v>
      </c>
      <c r="AR66" s="207">
        <f>[1]!'AI[62].RH.V'</f>
        <v>0</v>
      </c>
      <c r="AS66" s="207">
        <f>[1]!'AI[62].RH.fix'</f>
        <v>0</v>
      </c>
      <c r="AT66" s="208"/>
      <c r="AU66" s="207">
        <f>[1]!'AI[62].L.EN'</f>
        <v>0</v>
      </c>
      <c r="AV66" s="207">
        <f>[1]!'AI[62].L.V'</f>
        <v>0</v>
      </c>
      <c r="AW66" s="207">
        <f>[1]!'AI[62].L.fix'</f>
        <v>0</v>
      </c>
      <c r="AX66" s="208"/>
      <c r="AY66" s="207">
        <f>[1]!'AI[62].H.EN'</f>
        <v>0</v>
      </c>
      <c r="AZ66" s="207">
        <f>[1]!'AI[62].H.V'</f>
        <v>0</v>
      </c>
      <c r="BA66" s="207">
        <f>[1]!'AI[62].H.fix'</f>
        <v>0</v>
      </c>
      <c r="BB66" s="208"/>
      <c r="BC66" s="207">
        <f>[1]!'AI[62].LL.EN'</f>
        <v>0</v>
      </c>
      <c r="BD66" s="207">
        <f>[1]!'AI[62].LL.V'</f>
        <v>0</v>
      </c>
      <c r="BE66" s="207">
        <f>[1]!'AI[62].LL.fix'</f>
        <v>0</v>
      </c>
      <c r="BF66" s="208"/>
      <c r="BG66" s="207">
        <f>[1]!'AI[62].HH.EN'</f>
        <v>0</v>
      </c>
      <c r="BH66" s="207">
        <f>[1]!'AI[62].HH.V'</f>
        <v>0</v>
      </c>
      <c r="BI66" s="207">
        <f>[1]!'AI[62].HH.fix'</f>
        <v>0</v>
      </c>
      <c r="BJ66" s="210"/>
      <c r="BK66" s="207">
        <f>[1]!'AI[62].group'</f>
        <v>0</v>
      </c>
      <c r="BL66" s="207">
        <f>[1]!'AI[62].state'</f>
        <v>4</v>
      </c>
      <c r="BM66" s="207">
        <f>[1]!'AI[62].isInvScale'</f>
        <v>0</v>
      </c>
    </row>
    <row r="67" spans="1:65" ht="15.75" thickBot="1">
      <c r="A67" s="445"/>
      <c r="B67" s="446"/>
      <c r="C67" s="225">
        <v>15</v>
      </c>
      <c r="D67" s="225">
        <v>15</v>
      </c>
      <c r="E67" s="226" t="s">
        <v>396</v>
      </c>
      <c r="F67" s="226" t="s">
        <v>397</v>
      </c>
      <c r="G67" s="207">
        <f>[1]!'AI[63].ZL'</f>
        <v>0</v>
      </c>
      <c r="H67" s="207">
        <f>[1]!'AI[63].ZH'</f>
        <v>0</v>
      </c>
      <c r="I67" s="225" t="s">
        <v>366</v>
      </c>
      <c r="J67" s="207">
        <f>[1]!'AI[63].RL.V'</f>
        <v>0</v>
      </c>
      <c r="K67" s="207">
        <f>[1]!'AI[63].RH.V'</f>
        <v>0</v>
      </c>
      <c r="L67" s="207">
        <f>[1]!'AI[63].L.V'</f>
        <v>0</v>
      </c>
      <c r="M67" s="207">
        <f>[1]!'AI[63].H.V'</f>
        <v>0</v>
      </c>
      <c r="N67" s="207">
        <f>[1]!'AI[63].LL.V'</f>
        <v>0</v>
      </c>
      <c r="O67" s="207">
        <f>[1]!'AI[63].HH.V'</f>
        <v>0</v>
      </c>
      <c r="P67" s="227">
        <v>4</v>
      </c>
      <c r="Q67" s="228">
        <v>3</v>
      </c>
      <c r="R67" s="190"/>
      <c r="T67" s="207">
        <f>[1]!'AI[63].group'</f>
        <v>0</v>
      </c>
      <c r="X67" s="207">
        <f>[1]!'AI[63].EN'</f>
        <v>0</v>
      </c>
      <c r="Y67" s="207">
        <f>[1]!'AI[63].i'</f>
        <v>0</v>
      </c>
      <c r="Z67" s="207">
        <f>[1]!'AI[63].isForce'</f>
        <v>0</v>
      </c>
      <c r="AA67" s="207" t="e">
        <f>[1]!'AI[63].vRaw'</f>
        <v>#REF!</v>
      </c>
      <c r="AB67" s="207">
        <f>[1]!'AI[63].isCorrect'</f>
        <v>0</v>
      </c>
      <c r="AC67" s="207" t="e">
        <f>[1]!'AI[63].vCorrect'</f>
        <v>#REF!</v>
      </c>
      <c r="AD67" s="207">
        <f>[1]!'AI[63].v'</f>
        <v>0</v>
      </c>
      <c r="AE67" s="207" t="e">
        <f>[1]!'AI[63].isCut'</f>
        <v>#REF!</v>
      </c>
      <c r="AF67" s="207" t="e">
        <f>[1]!'AI[63].vCut'</f>
        <v>#REF!</v>
      </c>
      <c r="AG67" s="208"/>
      <c r="AH67" s="207">
        <f>[1]!'AI[63].break.sgn'</f>
        <v>0</v>
      </c>
      <c r="AI67" s="208"/>
      <c r="AJ67" s="207">
        <f>[1]!'AI[63].ZL'</f>
        <v>0</v>
      </c>
      <c r="AK67" s="207">
        <f>[1]!'AI[63].ZH'</f>
        <v>0</v>
      </c>
      <c r="AL67" s="208"/>
      <c r="AM67" s="207">
        <f>[1]!'AI[63].RL.EN'</f>
        <v>0</v>
      </c>
      <c r="AN67" s="207">
        <f>[1]!'AI[63].RL.V'</f>
        <v>0</v>
      </c>
      <c r="AO67" s="207">
        <f>[1]!'AI[63].RL.fix'</f>
        <v>0</v>
      </c>
      <c r="AP67" s="208"/>
      <c r="AQ67" s="207">
        <f>[1]!'AI[63].RH.EN'</f>
        <v>0</v>
      </c>
      <c r="AR67" s="207">
        <f>[1]!'AI[63].RH.V'</f>
        <v>0</v>
      </c>
      <c r="AS67" s="207">
        <f>[1]!'AI[63].RH.fix'</f>
        <v>0</v>
      </c>
      <c r="AT67" s="208"/>
      <c r="AU67" s="207">
        <f>[1]!'AI[63].L.EN'</f>
        <v>0</v>
      </c>
      <c r="AV67" s="207">
        <f>[1]!'AI[63].L.V'</f>
        <v>0</v>
      </c>
      <c r="AW67" s="207">
        <f>[1]!'AI[63].L.fix'</f>
        <v>0</v>
      </c>
      <c r="AX67" s="208"/>
      <c r="AY67" s="207">
        <f>[1]!'AI[63].H.EN'</f>
        <v>0</v>
      </c>
      <c r="AZ67" s="207">
        <f>[1]!'AI[63].H.V'</f>
        <v>0</v>
      </c>
      <c r="BA67" s="207">
        <f>[1]!'AI[63].H.fix'</f>
        <v>0</v>
      </c>
      <c r="BB67" s="208"/>
      <c r="BC67" s="207">
        <f>[1]!'AI[63].LL.EN'</f>
        <v>0</v>
      </c>
      <c r="BD67" s="207">
        <f>[1]!'AI[63].LL.V'</f>
        <v>0</v>
      </c>
      <c r="BE67" s="207">
        <f>[1]!'AI[63].LL.fix'</f>
        <v>0</v>
      </c>
      <c r="BF67" s="208"/>
      <c r="BG67" s="207">
        <f>[1]!'AI[63].HH.EN'</f>
        <v>0</v>
      </c>
      <c r="BH67" s="207">
        <f>[1]!'AI[63].HH.V'</f>
        <v>0</v>
      </c>
      <c r="BI67" s="207">
        <f>[1]!'AI[63].HH.fix'</f>
        <v>0</v>
      </c>
      <c r="BJ67" s="210"/>
      <c r="BK67" s="207">
        <f>[1]!'AI[63].group'</f>
        <v>0</v>
      </c>
      <c r="BL67" s="207">
        <f>[1]!'AI[63].state'</f>
        <v>4</v>
      </c>
      <c r="BM67" s="207">
        <f>[1]!'AI[63].isInvScale'</f>
        <v>0</v>
      </c>
    </row>
    <row r="68" spans="1:65">
      <c r="A68" s="445" t="s">
        <v>36</v>
      </c>
      <c r="B68" s="446">
        <v>3</v>
      </c>
      <c r="C68" s="216">
        <v>0</v>
      </c>
      <c r="D68" s="216">
        <v>0</v>
      </c>
      <c r="E68" s="217" t="s">
        <v>364</v>
      </c>
      <c r="F68" s="217" t="s">
        <v>365</v>
      </c>
      <c r="G68" s="207">
        <f>[1]!'ai[64].ZL'</f>
        <v>-50</v>
      </c>
      <c r="H68" s="207">
        <f>[1]!'ai[64].ZH'</f>
        <v>50</v>
      </c>
      <c r="I68" s="216" t="s">
        <v>366</v>
      </c>
      <c r="J68" s="207">
        <f>[1]!'ai[64].RL.V'</f>
        <v>5</v>
      </c>
      <c r="K68" s="207">
        <f>[1]!'ai[64].RH.V'</f>
        <v>40</v>
      </c>
      <c r="L68" s="207">
        <f>[1]!'ai[64].L.V'</f>
        <v>0</v>
      </c>
      <c r="M68" s="207">
        <f>[1]!'ai[64].H.V'</f>
        <v>0</v>
      </c>
      <c r="N68" s="207">
        <f>[1]!'ai[64].LL.V'</f>
        <v>0</v>
      </c>
      <c r="O68" s="207">
        <f>[1]!'ai[64].HH.V'</f>
        <v>0</v>
      </c>
      <c r="P68" s="218">
        <v>1</v>
      </c>
      <c r="Q68" s="219">
        <v>0</v>
      </c>
      <c r="R68" s="220"/>
      <c r="T68" s="207">
        <f>[1]!'ai[64].group'</f>
        <v>2</v>
      </c>
      <c r="X68" s="207">
        <f>[1]!'ai[64].EN'</f>
        <v>1</v>
      </c>
      <c r="Y68" s="207">
        <f>[1]!'ai[64].i'</f>
        <v>3.4551619999999999E-3</v>
      </c>
      <c r="Z68" s="207">
        <f>[1]!'ai[64].isForce'</f>
        <v>0</v>
      </c>
      <c r="AA68" s="207" t="e">
        <f>[1]!'ai[64].vRaw'</f>
        <v>#REF!</v>
      </c>
      <c r="AB68" s="207">
        <f>[1]!'ai[64].isCorrect'</f>
        <v>0</v>
      </c>
      <c r="AC68" s="207" t="e">
        <f>[1]!'ai[64].vCorrect'</f>
        <v>#REF!</v>
      </c>
      <c r="AD68" s="207">
        <f>[1]!'ai[64].v'</f>
        <v>0</v>
      </c>
      <c r="AE68" s="207" t="e">
        <f>[1]!'ai[64].isCut'</f>
        <v>#REF!</v>
      </c>
      <c r="AF68" s="207" t="e">
        <f>[1]!'ai[64].vCut'</f>
        <v>#REF!</v>
      </c>
      <c r="AG68" s="208"/>
      <c r="AH68" s="207">
        <f>[1]!'ai[64].break.sgn'</f>
        <v>1</v>
      </c>
      <c r="AI68" s="208"/>
      <c r="AJ68" s="207">
        <f>[1]!'ai[64].ZL'</f>
        <v>-50</v>
      </c>
      <c r="AK68" s="207">
        <f>[1]!'ai[64].ZH'</f>
        <v>50</v>
      </c>
      <c r="AL68" s="208"/>
      <c r="AM68" s="207">
        <f>[1]!'ai[64].RL.EN'</f>
        <v>1</v>
      </c>
      <c r="AN68" s="207">
        <f>[1]!'ai[64].RL.V'</f>
        <v>5</v>
      </c>
      <c r="AO68" s="207">
        <f>[1]!'ai[64].RL.fix'</f>
        <v>0</v>
      </c>
      <c r="AP68" s="208"/>
      <c r="AQ68" s="207">
        <f>[1]!'ai[64].RH.EN'</f>
        <v>1</v>
      </c>
      <c r="AR68" s="207">
        <f>[1]!'ai[64].RH.V'</f>
        <v>40</v>
      </c>
      <c r="AS68" s="207">
        <f>[1]!'ai[64].RH.fix'</f>
        <v>0</v>
      </c>
      <c r="AT68" s="208"/>
      <c r="AU68" s="207">
        <f>[1]!'ai[64].L.EN'</f>
        <v>0</v>
      </c>
      <c r="AV68" s="207">
        <f>[1]!'ai[64].L.V'</f>
        <v>0</v>
      </c>
      <c r="AW68" s="207">
        <f>[1]!'ai[64].L.fix'</f>
        <v>0</v>
      </c>
      <c r="AX68" s="208"/>
      <c r="AY68" s="207">
        <f>[1]!'ai[64].H.EN'</f>
        <v>0</v>
      </c>
      <c r="AZ68" s="207">
        <f>[1]!'ai[64].H.V'</f>
        <v>0</v>
      </c>
      <c r="BA68" s="207">
        <f>[1]!'ai[64].H.fix'</f>
        <v>0</v>
      </c>
      <c r="BB68" s="208"/>
      <c r="BC68" s="207">
        <f>[1]!'ai[64].LL.EN'</f>
        <v>0</v>
      </c>
      <c r="BD68" s="207">
        <f>[1]!'ai[64].LL.V'</f>
        <v>0</v>
      </c>
      <c r="BE68" s="207">
        <f>[1]!'ai[64].LL.fix'</f>
        <v>0</v>
      </c>
      <c r="BF68" s="208"/>
      <c r="BG68" s="207">
        <f>[1]!'ai[64].HH.EN'</f>
        <v>0</v>
      </c>
      <c r="BH68" s="207">
        <f>[1]!'ai[64].HH.V'</f>
        <v>0</v>
      </c>
      <c r="BI68" s="207">
        <f>[1]!'ai[64].HH.fix'</f>
        <v>0</v>
      </c>
      <c r="BJ68" s="210"/>
      <c r="BK68" s="207">
        <f>[1]!'ai[64].group'</f>
        <v>2</v>
      </c>
      <c r="BL68" s="207">
        <f>[1]!'ai[64].state'</f>
        <v>4</v>
      </c>
      <c r="BM68" s="207">
        <f>[1]!'ai[64].isInvScale'</f>
        <v>0</v>
      </c>
    </row>
    <row r="69" spans="1:65">
      <c r="A69" s="445"/>
      <c r="B69" s="446"/>
      <c r="C69" s="221">
        <v>1</v>
      </c>
      <c r="D69" s="221">
        <v>1</v>
      </c>
      <c r="E69" s="222" t="s">
        <v>367</v>
      </c>
      <c r="F69" s="222" t="s">
        <v>368</v>
      </c>
      <c r="G69" s="207">
        <f>[1]!'ai[65].ZL'</f>
        <v>0</v>
      </c>
      <c r="H69" s="207">
        <f>[1]!'ai[65].ZH'</f>
        <v>100</v>
      </c>
      <c r="I69" s="221" t="s">
        <v>366</v>
      </c>
      <c r="J69" s="207">
        <f>[1]!'ai[65].RL.V'</f>
        <v>30</v>
      </c>
      <c r="K69" s="207">
        <f>[1]!'ai[65].RH.V'</f>
        <v>60</v>
      </c>
      <c r="L69" s="207">
        <f>[1]!'ai[65].L.V'</f>
        <v>0</v>
      </c>
      <c r="M69" s="207">
        <f>[1]!'ai[65].H.V'</f>
        <v>0</v>
      </c>
      <c r="N69" s="207">
        <f>[1]!'ai[65].LL.V'</f>
        <v>0</v>
      </c>
      <c r="O69" s="207">
        <f>[1]!'ai[65].HH.V'</f>
        <v>0</v>
      </c>
      <c r="P69" s="223">
        <v>1</v>
      </c>
      <c r="Q69" s="224">
        <v>0</v>
      </c>
      <c r="R69" s="184"/>
      <c r="T69" s="207">
        <f>[1]!'ai[65].group'</f>
        <v>2</v>
      </c>
      <c r="X69" s="207">
        <f>[1]!'ai[65].EN'</f>
        <v>1</v>
      </c>
      <c r="Y69" s="207">
        <f>[1]!'ai[65].i'</f>
        <v>3.4551619999999999E-3</v>
      </c>
      <c r="Z69" s="207">
        <f>[1]!'ai[65].isForce'</f>
        <v>0</v>
      </c>
      <c r="AA69" s="207" t="e">
        <f>[1]!'ai[65].vRaw'</f>
        <v>#REF!</v>
      </c>
      <c r="AB69" s="207">
        <f>[1]!'ai[65].isCorrect'</f>
        <v>0</v>
      </c>
      <c r="AC69" s="207" t="e">
        <f>[1]!'ai[65].vCorrect'</f>
        <v>#REF!</v>
      </c>
      <c r="AD69" s="207">
        <f>[1]!'ai[65].v'</f>
        <v>0</v>
      </c>
      <c r="AE69" s="207" t="e">
        <f>[1]!'ai[65].isCut'</f>
        <v>#REF!</v>
      </c>
      <c r="AF69" s="207" t="e">
        <f>[1]!'ai[65].vCut'</f>
        <v>#REF!</v>
      </c>
      <c r="AG69" s="208"/>
      <c r="AH69" s="207">
        <f>[1]!'ai[65].break.sgn'</f>
        <v>1</v>
      </c>
      <c r="AI69" s="208"/>
      <c r="AJ69" s="207">
        <f>[1]!'ai[65].ZL'</f>
        <v>0</v>
      </c>
      <c r="AK69" s="207">
        <f>[1]!'ai[65].ZH'</f>
        <v>100</v>
      </c>
      <c r="AL69" s="208"/>
      <c r="AM69" s="207">
        <f>[1]!'ai[65].RL.EN'</f>
        <v>1</v>
      </c>
      <c r="AN69" s="207">
        <f>[1]!'ai[65].RL.V'</f>
        <v>30</v>
      </c>
      <c r="AO69" s="207">
        <f>[1]!'ai[65].RL.fix'</f>
        <v>0</v>
      </c>
      <c r="AP69" s="208"/>
      <c r="AQ69" s="207">
        <f>[1]!'ai[65].RH.EN'</f>
        <v>1</v>
      </c>
      <c r="AR69" s="207">
        <f>[1]!'ai[65].RH.V'</f>
        <v>60</v>
      </c>
      <c r="AS69" s="207">
        <f>[1]!'ai[65].RH.fix'</f>
        <v>0</v>
      </c>
      <c r="AT69" s="208"/>
      <c r="AU69" s="207">
        <f>[1]!'ai[65].L.EN'</f>
        <v>0</v>
      </c>
      <c r="AV69" s="207">
        <f>[1]!'ai[65].L.V'</f>
        <v>0</v>
      </c>
      <c r="AW69" s="207">
        <f>[1]!'ai[65].L.fix'</f>
        <v>0</v>
      </c>
      <c r="AX69" s="208"/>
      <c r="AY69" s="207">
        <f>[1]!'ai[65].H.EN'</f>
        <v>0</v>
      </c>
      <c r="AZ69" s="207">
        <f>[1]!'ai[65].H.V'</f>
        <v>0</v>
      </c>
      <c r="BA69" s="207">
        <f>[1]!'ai[65].H.fix'</f>
        <v>0</v>
      </c>
      <c r="BB69" s="208"/>
      <c r="BC69" s="207">
        <f>[1]!'ai[65].LL.EN'</f>
        <v>0</v>
      </c>
      <c r="BD69" s="207">
        <f>[1]!'ai[65].LL.V'</f>
        <v>0</v>
      </c>
      <c r="BE69" s="207">
        <f>[1]!'ai[65].LL.fix'</f>
        <v>0</v>
      </c>
      <c r="BF69" s="208"/>
      <c r="BG69" s="207">
        <f>[1]!'ai[65].HH.EN'</f>
        <v>0</v>
      </c>
      <c r="BH69" s="207">
        <f>[1]!'ai[65].HH.V'</f>
        <v>0</v>
      </c>
      <c r="BI69" s="207">
        <f>[1]!'ai[65].HH.fix'</f>
        <v>0</v>
      </c>
      <c r="BJ69" s="210"/>
      <c r="BK69" s="207">
        <f>[1]!'ai[65].group'</f>
        <v>2</v>
      </c>
      <c r="BL69" s="207">
        <f>[1]!'ai[65].state'</f>
        <v>4</v>
      </c>
      <c r="BM69" s="207">
        <f>[1]!'ai[65].isInvScale'</f>
        <v>0</v>
      </c>
    </row>
    <row r="70" spans="1:65">
      <c r="A70" s="445"/>
      <c r="B70" s="446"/>
      <c r="C70" s="221">
        <v>2</v>
      </c>
      <c r="D70" s="221">
        <v>2</v>
      </c>
      <c r="E70" s="222" t="s">
        <v>369</v>
      </c>
      <c r="F70" s="222" t="s">
        <v>370</v>
      </c>
      <c r="G70" s="207">
        <f>[1]!'ai[66].ZL'</f>
        <v>0</v>
      </c>
      <c r="H70" s="207">
        <f>[1]!'ai[66].ZH'</f>
        <v>100</v>
      </c>
      <c r="I70" s="221" t="s">
        <v>366</v>
      </c>
      <c r="J70" s="207">
        <f>[1]!'ai[66].RL.V'</f>
        <v>30</v>
      </c>
      <c r="K70" s="207">
        <f>[1]!'ai[66].RH.V'</f>
        <v>50</v>
      </c>
      <c r="L70" s="207">
        <f>[1]!'ai[66].L.V'</f>
        <v>0</v>
      </c>
      <c r="M70" s="207">
        <f>[1]!'ai[66].H.V'</f>
        <v>0</v>
      </c>
      <c r="N70" s="207">
        <f>[1]!'ai[66].LL.V'</f>
        <v>0</v>
      </c>
      <c r="O70" s="207">
        <f>[1]!'ai[66].HH.V'</f>
        <v>0</v>
      </c>
      <c r="P70" s="223">
        <v>1</v>
      </c>
      <c r="Q70" s="224">
        <v>0</v>
      </c>
      <c r="R70" s="184"/>
      <c r="T70" s="207">
        <f>[1]!'ai[66].group'</f>
        <v>2</v>
      </c>
      <c r="X70" s="207">
        <f>[1]!'ai[66].EN'</f>
        <v>1</v>
      </c>
      <c r="Y70" s="207">
        <f>[1]!'ai[66].i'</f>
        <v>3.4551619999999999E-3</v>
      </c>
      <c r="Z70" s="207">
        <f>[1]!'ai[66].isForce'</f>
        <v>0</v>
      </c>
      <c r="AA70" s="207" t="e">
        <f>[1]!'ai[66].vRaw'</f>
        <v>#REF!</v>
      </c>
      <c r="AB70" s="207">
        <f>[1]!'ai[66].isCorrect'</f>
        <v>0</v>
      </c>
      <c r="AC70" s="207" t="e">
        <f>[1]!'ai[66].vCorrect'</f>
        <v>#REF!</v>
      </c>
      <c r="AD70" s="207">
        <f>[1]!'ai[66].v'</f>
        <v>0</v>
      </c>
      <c r="AE70" s="207" t="e">
        <f>[1]!'ai[66].isCut'</f>
        <v>#REF!</v>
      </c>
      <c r="AF70" s="207" t="e">
        <f>[1]!'ai[66].vCut'</f>
        <v>#REF!</v>
      </c>
      <c r="AG70" s="208"/>
      <c r="AH70" s="207">
        <f>[1]!'ai[66].break.sgn'</f>
        <v>1</v>
      </c>
      <c r="AI70" s="208"/>
      <c r="AJ70" s="207">
        <f>[1]!'ai[66].ZL'</f>
        <v>0</v>
      </c>
      <c r="AK70" s="207">
        <f>[1]!'ai[66].ZH'</f>
        <v>100</v>
      </c>
      <c r="AL70" s="208"/>
      <c r="AM70" s="207">
        <f>[1]!'ai[66].RL.EN'</f>
        <v>1</v>
      </c>
      <c r="AN70" s="207">
        <f>[1]!'ai[66].RL.V'</f>
        <v>30</v>
      </c>
      <c r="AO70" s="207">
        <f>[1]!'ai[66].RL.fix'</f>
        <v>0</v>
      </c>
      <c r="AP70" s="208"/>
      <c r="AQ70" s="207">
        <f>[1]!'ai[66].RH.EN'</f>
        <v>1</v>
      </c>
      <c r="AR70" s="207">
        <f>[1]!'ai[66].RH.V'</f>
        <v>50</v>
      </c>
      <c r="AS70" s="207">
        <f>[1]!'ai[66].RH.fix'</f>
        <v>0</v>
      </c>
      <c r="AT70" s="208"/>
      <c r="AU70" s="207">
        <f>[1]!'ai[66].L.EN'</f>
        <v>0</v>
      </c>
      <c r="AV70" s="207">
        <f>[1]!'ai[66].L.V'</f>
        <v>0</v>
      </c>
      <c r="AW70" s="207">
        <f>[1]!'ai[66].L.fix'</f>
        <v>0</v>
      </c>
      <c r="AX70" s="208"/>
      <c r="AY70" s="207">
        <f>[1]!'ai[66].H.EN'</f>
        <v>0</v>
      </c>
      <c r="AZ70" s="207">
        <f>[1]!'ai[66].H.V'</f>
        <v>0</v>
      </c>
      <c r="BA70" s="207">
        <f>[1]!'ai[66].H.fix'</f>
        <v>0</v>
      </c>
      <c r="BB70" s="208"/>
      <c r="BC70" s="207">
        <f>[1]!'ai[66].LL.EN'</f>
        <v>0</v>
      </c>
      <c r="BD70" s="207">
        <f>[1]!'ai[66].LL.V'</f>
        <v>0</v>
      </c>
      <c r="BE70" s="207">
        <f>[1]!'ai[66].LL.fix'</f>
        <v>0</v>
      </c>
      <c r="BF70" s="208"/>
      <c r="BG70" s="207">
        <f>[1]!'ai[66].HH.EN'</f>
        <v>0</v>
      </c>
      <c r="BH70" s="207">
        <f>[1]!'ai[66].HH.V'</f>
        <v>0</v>
      </c>
      <c r="BI70" s="207">
        <f>[1]!'ai[66].HH.fix'</f>
        <v>0</v>
      </c>
      <c r="BJ70" s="209"/>
      <c r="BK70" s="207">
        <f>[1]!'ai[66].group'</f>
        <v>2</v>
      </c>
      <c r="BL70" s="207">
        <f>[1]!'ai[66].state'</f>
        <v>4</v>
      </c>
      <c r="BM70" s="207">
        <f>[1]!'ai[66].isInvScale'</f>
        <v>0</v>
      </c>
    </row>
    <row r="71" spans="1:65">
      <c r="A71" s="445"/>
      <c r="B71" s="446"/>
      <c r="C71" s="221">
        <v>3</v>
      </c>
      <c r="D71" s="221">
        <v>3</v>
      </c>
      <c r="E71" s="222" t="s">
        <v>371</v>
      </c>
      <c r="F71" s="222" t="s">
        <v>372</v>
      </c>
      <c r="G71" s="207">
        <f>[1]!'ai[67].ZL'</f>
        <v>0</v>
      </c>
      <c r="H71" s="207">
        <f>[1]!'ai[67].ZH'</f>
        <v>100</v>
      </c>
      <c r="I71" s="221" t="s">
        <v>366</v>
      </c>
      <c r="J71" s="207">
        <f>[1]!'ai[67].RL.V'</f>
        <v>20</v>
      </c>
      <c r="K71" s="207">
        <f>[1]!'ai[67].RH.V'</f>
        <v>80</v>
      </c>
      <c r="L71" s="207">
        <f>[1]!'ai[67].L.V'</f>
        <v>0</v>
      </c>
      <c r="M71" s="207">
        <f>[1]!'ai[67].H.V'</f>
        <v>0</v>
      </c>
      <c r="N71" s="207">
        <f>[1]!'ai[67].LL.V'</f>
        <v>0</v>
      </c>
      <c r="O71" s="207">
        <f>[1]!'ai[67].HH.V'</f>
        <v>0</v>
      </c>
      <c r="P71" s="223">
        <v>1</v>
      </c>
      <c r="Q71" s="224">
        <v>0</v>
      </c>
      <c r="R71" s="184"/>
      <c r="T71" s="207">
        <f>[1]!'ai[67].group'</f>
        <v>2</v>
      </c>
      <c r="X71" s="207">
        <f>[1]!'ai[67].EN'</f>
        <v>1</v>
      </c>
      <c r="Y71" s="207">
        <f>[1]!'ai[67].i'</f>
        <v>3.4551619999999999E-3</v>
      </c>
      <c r="Z71" s="207">
        <f>[1]!'ai[67].isForce'</f>
        <v>0</v>
      </c>
      <c r="AA71" s="207" t="e">
        <f>[1]!'ai[67].vRaw'</f>
        <v>#REF!</v>
      </c>
      <c r="AB71" s="207">
        <f>[1]!'ai[67].isCorrect'</f>
        <v>0</v>
      </c>
      <c r="AC71" s="207" t="e">
        <f>[1]!'ai[67].vCorrect'</f>
        <v>#REF!</v>
      </c>
      <c r="AD71" s="207">
        <f>[1]!'ai[67].v'</f>
        <v>0</v>
      </c>
      <c r="AE71" s="207" t="e">
        <f>[1]!'ai[67].isCut'</f>
        <v>#REF!</v>
      </c>
      <c r="AF71" s="207" t="e">
        <f>[1]!'ai[67].vCut'</f>
        <v>#REF!</v>
      </c>
      <c r="AG71" s="208"/>
      <c r="AH71" s="207">
        <f>[1]!'ai[67].break.sgn'</f>
        <v>1</v>
      </c>
      <c r="AI71" s="208"/>
      <c r="AJ71" s="207">
        <f>[1]!'ai[67].ZL'</f>
        <v>0</v>
      </c>
      <c r="AK71" s="207">
        <f>[1]!'ai[67].ZH'</f>
        <v>100</v>
      </c>
      <c r="AL71" s="208"/>
      <c r="AM71" s="207">
        <f>[1]!'ai[67].RL.EN'</f>
        <v>1</v>
      </c>
      <c r="AN71" s="207">
        <f>[1]!'ai[67].RL.V'</f>
        <v>20</v>
      </c>
      <c r="AO71" s="207">
        <f>[1]!'ai[67].RL.fix'</f>
        <v>0</v>
      </c>
      <c r="AP71" s="208"/>
      <c r="AQ71" s="207">
        <f>[1]!'ai[67].RH.EN'</f>
        <v>1</v>
      </c>
      <c r="AR71" s="207">
        <f>[1]!'ai[67].RH.V'</f>
        <v>80</v>
      </c>
      <c r="AS71" s="207">
        <f>[1]!'ai[67].RH.fix'</f>
        <v>0</v>
      </c>
      <c r="AT71" s="208"/>
      <c r="AU71" s="207">
        <f>[1]!'ai[67].L.EN'</f>
        <v>0</v>
      </c>
      <c r="AV71" s="207">
        <f>[1]!'ai[67].L.V'</f>
        <v>0</v>
      </c>
      <c r="AW71" s="207">
        <f>[1]!'ai[67].L.fix'</f>
        <v>0</v>
      </c>
      <c r="AX71" s="208"/>
      <c r="AY71" s="207">
        <f>[1]!'ai[67].H.EN'</f>
        <v>0</v>
      </c>
      <c r="AZ71" s="207">
        <f>[1]!'ai[67].H.V'</f>
        <v>0</v>
      </c>
      <c r="BA71" s="207">
        <f>[1]!'ai[67].H.fix'</f>
        <v>0</v>
      </c>
      <c r="BB71" s="208"/>
      <c r="BC71" s="207">
        <f>[1]!'ai[67].LL.EN'</f>
        <v>0</v>
      </c>
      <c r="BD71" s="207">
        <f>[1]!'ai[67].LL.V'</f>
        <v>0</v>
      </c>
      <c r="BE71" s="207">
        <f>[1]!'ai[67].LL.fix'</f>
        <v>0</v>
      </c>
      <c r="BF71" s="208"/>
      <c r="BG71" s="207">
        <f>[1]!'ai[67].HH.EN'</f>
        <v>0</v>
      </c>
      <c r="BH71" s="207">
        <f>[1]!'ai[67].HH.V'</f>
        <v>0</v>
      </c>
      <c r="BI71" s="207">
        <f>[1]!'ai[67].HH.fix'</f>
        <v>0</v>
      </c>
      <c r="BJ71" s="209"/>
      <c r="BK71" s="207">
        <f>[1]!'ai[67].group'</f>
        <v>2</v>
      </c>
      <c r="BL71" s="207">
        <f>[1]!'ai[67].state'</f>
        <v>4</v>
      </c>
      <c r="BM71" s="207">
        <f>[1]!'ai[67].isInvScale'</f>
        <v>0</v>
      </c>
    </row>
    <row r="72" spans="1:65">
      <c r="A72" s="445"/>
      <c r="B72" s="446"/>
      <c r="C72" s="221">
        <v>4</v>
      </c>
      <c r="D72" s="221">
        <v>4</v>
      </c>
      <c r="E72" s="222" t="s">
        <v>373</v>
      </c>
      <c r="F72" s="222" t="s">
        <v>374</v>
      </c>
      <c r="G72" s="207">
        <f>[1]!'ai[68].ZL'</f>
        <v>0</v>
      </c>
      <c r="H72" s="207">
        <f>[1]!'ai[68].ZH'</f>
        <v>100</v>
      </c>
      <c r="I72" s="221" t="s">
        <v>366</v>
      </c>
      <c r="J72" s="207">
        <f>[1]!'ai[68].RL.V'</f>
        <v>20</v>
      </c>
      <c r="K72" s="207">
        <f>[1]!'ai[68].RH.V'</f>
        <v>80</v>
      </c>
      <c r="L72" s="207">
        <f>[1]!'ai[68].L.V'</f>
        <v>0</v>
      </c>
      <c r="M72" s="207">
        <f>[1]!'ai[68].H.V'</f>
        <v>0</v>
      </c>
      <c r="N72" s="207">
        <f>[1]!'ai[68].LL.V'</f>
        <v>0</v>
      </c>
      <c r="O72" s="207">
        <f>[1]!'ai[68].HH.V'</f>
        <v>0</v>
      </c>
      <c r="P72" s="223">
        <v>1</v>
      </c>
      <c r="Q72" s="224">
        <v>0</v>
      </c>
      <c r="R72" s="184"/>
      <c r="T72" s="207">
        <f>[1]!'ai[68].group'</f>
        <v>2</v>
      </c>
      <c r="X72" s="207">
        <f>[1]!'ai[68].EN'</f>
        <v>1</v>
      </c>
      <c r="Y72" s="207">
        <f>[1]!'ai[68].i'</f>
        <v>1.2559890000000001E-3</v>
      </c>
      <c r="Z72" s="207">
        <f>[1]!'ai[68].isForce'</f>
        <v>0</v>
      </c>
      <c r="AA72" s="207" t="e">
        <f>[1]!'ai[68].vRaw'</f>
        <v>#REF!</v>
      </c>
      <c r="AB72" s="207">
        <f>[1]!'ai[68].isCorrect'</f>
        <v>0</v>
      </c>
      <c r="AC72" s="207" t="e">
        <f>[1]!'ai[68].vCorrect'</f>
        <v>#REF!</v>
      </c>
      <c r="AD72" s="207">
        <f>[1]!'ai[68].v'</f>
        <v>0</v>
      </c>
      <c r="AE72" s="207" t="e">
        <f>[1]!'ai[68].isCut'</f>
        <v>#REF!</v>
      </c>
      <c r="AF72" s="207" t="e">
        <f>[1]!'ai[68].vCut'</f>
        <v>#REF!</v>
      </c>
      <c r="AG72" s="208"/>
      <c r="AH72" s="207">
        <f>[1]!'ai[68].break.sgn'</f>
        <v>1</v>
      </c>
      <c r="AI72" s="208"/>
      <c r="AJ72" s="207">
        <f>[1]!'ai[68].ZL'</f>
        <v>0</v>
      </c>
      <c r="AK72" s="207">
        <f>[1]!'ai[68].ZH'</f>
        <v>100</v>
      </c>
      <c r="AL72" s="208"/>
      <c r="AM72" s="207">
        <f>[1]!'ai[68].RL.EN'</f>
        <v>1</v>
      </c>
      <c r="AN72" s="207">
        <f>[1]!'ai[68].RL.V'</f>
        <v>20</v>
      </c>
      <c r="AO72" s="207">
        <f>[1]!'ai[68].RL.fix'</f>
        <v>0</v>
      </c>
      <c r="AP72" s="208"/>
      <c r="AQ72" s="207">
        <f>[1]!'ai[68].RH.EN'</f>
        <v>1</v>
      </c>
      <c r="AR72" s="207">
        <f>[1]!'ai[68].RH.V'</f>
        <v>80</v>
      </c>
      <c r="AS72" s="207">
        <f>[1]!'ai[68].RH.fix'</f>
        <v>0</v>
      </c>
      <c r="AT72" s="208"/>
      <c r="AU72" s="207">
        <f>[1]!'ai[68].L.EN'</f>
        <v>0</v>
      </c>
      <c r="AV72" s="207">
        <f>[1]!'ai[68].L.V'</f>
        <v>0</v>
      </c>
      <c r="AW72" s="207">
        <f>[1]!'ai[68].L.fix'</f>
        <v>0</v>
      </c>
      <c r="AX72" s="208"/>
      <c r="AY72" s="207">
        <f>[1]!'ai[68].H.EN'</f>
        <v>0</v>
      </c>
      <c r="AZ72" s="207">
        <f>[1]!'ai[68].H.V'</f>
        <v>0</v>
      </c>
      <c r="BA72" s="207">
        <f>[1]!'ai[68].H.fix'</f>
        <v>0</v>
      </c>
      <c r="BB72" s="208"/>
      <c r="BC72" s="207">
        <f>[1]!'ai[68].LL.EN'</f>
        <v>0</v>
      </c>
      <c r="BD72" s="207">
        <f>[1]!'ai[68].LL.V'</f>
        <v>0</v>
      </c>
      <c r="BE72" s="207">
        <f>[1]!'ai[68].LL.fix'</f>
        <v>0</v>
      </c>
      <c r="BF72" s="208"/>
      <c r="BG72" s="207">
        <f>[1]!'ai[68].HH.EN'</f>
        <v>0</v>
      </c>
      <c r="BH72" s="207">
        <f>[1]!'ai[68].HH.V'</f>
        <v>0</v>
      </c>
      <c r="BI72" s="207">
        <f>[1]!'ai[68].HH.fix'</f>
        <v>0</v>
      </c>
      <c r="BJ72" s="209"/>
      <c r="BK72" s="207">
        <f>[1]!'ai[68].group'</f>
        <v>2</v>
      </c>
      <c r="BL72" s="207">
        <f>[1]!'ai[68].state'</f>
        <v>4</v>
      </c>
      <c r="BM72" s="207">
        <f>[1]!'ai[68].isInvScale'</f>
        <v>0</v>
      </c>
    </row>
    <row r="73" spans="1:65">
      <c r="A73" s="445"/>
      <c r="B73" s="446"/>
      <c r="C73" s="221">
        <v>5</v>
      </c>
      <c r="D73" s="221">
        <v>5</v>
      </c>
      <c r="E73" s="222" t="s">
        <v>375</v>
      </c>
      <c r="F73" s="222" t="s">
        <v>376</v>
      </c>
      <c r="G73" s="207">
        <f>[1]!'ai[69].ZL'</f>
        <v>0</v>
      </c>
      <c r="H73" s="207">
        <f>[1]!'ai[69].ZH'</f>
        <v>100</v>
      </c>
      <c r="I73" s="221" t="s">
        <v>366</v>
      </c>
      <c r="J73" s="207">
        <f>[1]!'ai[69].RL.V'</f>
        <v>20</v>
      </c>
      <c r="K73" s="207">
        <f>[1]!'ai[69].RH.V'</f>
        <v>80</v>
      </c>
      <c r="L73" s="207">
        <f>[1]!'ai[69].L.V'</f>
        <v>0</v>
      </c>
      <c r="M73" s="207">
        <f>[1]!'ai[69].H.V'</f>
        <v>0</v>
      </c>
      <c r="N73" s="207">
        <f>[1]!'ai[69].LL.V'</f>
        <v>0</v>
      </c>
      <c r="O73" s="207">
        <f>[1]!'ai[69].HH.V'</f>
        <v>0</v>
      </c>
      <c r="P73" s="223">
        <v>1</v>
      </c>
      <c r="Q73" s="224">
        <v>0</v>
      </c>
      <c r="R73" s="184"/>
      <c r="T73" s="207">
        <f>[1]!'ai[69].group'</f>
        <v>2</v>
      </c>
      <c r="X73" s="207">
        <f>[1]!'ai[69].EN'</f>
        <v>1</v>
      </c>
      <c r="Y73" s="207">
        <f>[1]!'ai[69].i'</f>
        <v>1.8844599999999999E-3</v>
      </c>
      <c r="Z73" s="207">
        <f>[1]!'ai[69].isForce'</f>
        <v>0</v>
      </c>
      <c r="AA73" s="207" t="e">
        <f>[1]!'ai[69].vRaw'</f>
        <v>#REF!</v>
      </c>
      <c r="AB73" s="207">
        <f>[1]!'ai[69].isCorrect'</f>
        <v>0</v>
      </c>
      <c r="AC73" s="207" t="e">
        <f>[1]!'ai[69].vCorrect'</f>
        <v>#REF!</v>
      </c>
      <c r="AD73" s="207">
        <f>[1]!'ai[69].v'</f>
        <v>0</v>
      </c>
      <c r="AE73" s="207" t="e">
        <f>[1]!'ai[69].isCut'</f>
        <v>#REF!</v>
      </c>
      <c r="AF73" s="207" t="e">
        <f>[1]!'ai[69].vCut'</f>
        <v>#REF!</v>
      </c>
      <c r="AG73" s="208"/>
      <c r="AH73" s="207">
        <f>[1]!'ai[69].break.sgn'</f>
        <v>1</v>
      </c>
      <c r="AI73" s="208"/>
      <c r="AJ73" s="207">
        <f>[1]!'ai[69].ZL'</f>
        <v>0</v>
      </c>
      <c r="AK73" s="207">
        <f>[1]!'ai[69].ZH'</f>
        <v>100</v>
      </c>
      <c r="AL73" s="208"/>
      <c r="AM73" s="207">
        <f>[1]!'ai[69].RL.EN'</f>
        <v>1</v>
      </c>
      <c r="AN73" s="207">
        <f>[1]!'ai[69].RL.V'</f>
        <v>20</v>
      </c>
      <c r="AO73" s="207">
        <f>[1]!'ai[69].RL.fix'</f>
        <v>0</v>
      </c>
      <c r="AP73" s="208"/>
      <c r="AQ73" s="207">
        <f>[1]!'ai[69].RH.EN'</f>
        <v>1</v>
      </c>
      <c r="AR73" s="207">
        <f>[1]!'ai[69].RH.V'</f>
        <v>80</v>
      </c>
      <c r="AS73" s="207">
        <f>[1]!'ai[69].RH.fix'</f>
        <v>0</v>
      </c>
      <c r="AT73" s="208"/>
      <c r="AU73" s="207">
        <f>[1]!'ai[69].L.EN'</f>
        <v>0</v>
      </c>
      <c r="AV73" s="207">
        <f>[1]!'ai[69].L.V'</f>
        <v>0</v>
      </c>
      <c r="AW73" s="207">
        <f>[1]!'ai[69].L.fix'</f>
        <v>0</v>
      </c>
      <c r="AX73" s="208"/>
      <c r="AY73" s="207">
        <f>[1]!'ai[69].H.EN'</f>
        <v>0</v>
      </c>
      <c r="AZ73" s="207">
        <f>[1]!'ai[69].H.V'</f>
        <v>0</v>
      </c>
      <c r="BA73" s="207">
        <f>[1]!'ai[69].H.fix'</f>
        <v>0</v>
      </c>
      <c r="BB73" s="208"/>
      <c r="BC73" s="207">
        <f>[1]!'ai[69].LL.EN'</f>
        <v>0</v>
      </c>
      <c r="BD73" s="207">
        <f>[1]!'ai[69].LL.V'</f>
        <v>0</v>
      </c>
      <c r="BE73" s="207">
        <f>[1]!'ai[69].LL.fix'</f>
        <v>0</v>
      </c>
      <c r="BF73" s="208"/>
      <c r="BG73" s="207">
        <f>[1]!'ai[69].HH.EN'</f>
        <v>0</v>
      </c>
      <c r="BH73" s="207">
        <f>[1]!'ai[69].HH.V'</f>
        <v>0</v>
      </c>
      <c r="BI73" s="207">
        <f>[1]!'ai[69].HH.fix'</f>
        <v>0</v>
      </c>
      <c r="BJ73" s="209"/>
      <c r="BK73" s="207">
        <f>[1]!'ai[69].group'</f>
        <v>2</v>
      </c>
      <c r="BL73" s="207">
        <f>[1]!'ai[69].state'</f>
        <v>4</v>
      </c>
      <c r="BM73" s="207">
        <f>[1]!'ai[69].isInvScale'</f>
        <v>0</v>
      </c>
    </row>
    <row r="74" spans="1:65">
      <c r="A74" s="445"/>
      <c r="B74" s="446"/>
      <c r="C74" s="221">
        <v>6</v>
      </c>
      <c r="D74" s="221">
        <v>6</v>
      </c>
      <c r="E74" s="222" t="s">
        <v>377</v>
      </c>
      <c r="F74" s="222" t="s">
        <v>378</v>
      </c>
      <c r="G74" s="207">
        <f>[1]!'ai[70].ZL'</f>
        <v>0</v>
      </c>
      <c r="H74" s="207">
        <f>[1]!'ai[70].ZH'</f>
        <v>100</v>
      </c>
      <c r="I74" s="221" t="s">
        <v>366</v>
      </c>
      <c r="J74" s="207">
        <f>[1]!'ai[70].RL.V'</f>
        <v>20</v>
      </c>
      <c r="K74" s="207">
        <f>[1]!'ai[70].RH.V'</f>
        <v>80</v>
      </c>
      <c r="L74" s="207">
        <f>[1]!'ai[70].L.V'</f>
        <v>0</v>
      </c>
      <c r="M74" s="207">
        <f>[1]!'ai[70].H.V'</f>
        <v>0</v>
      </c>
      <c r="N74" s="207">
        <f>[1]!'ai[70].LL.V'</f>
        <v>0</v>
      </c>
      <c r="O74" s="207">
        <f>[1]!'ai[70].HH.V'</f>
        <v>0</v>
      </c>
      <c r="P74" s="223">
        <v>1</v>
      </c>
      <c r="Q74" s="224">
        <v>0</v>
      </c>
      <c r="R74" s="184"/>
      <c r="T74" s="207">
        <f>[1]!'ai[70].group'</f>
        <v>2</v>
      </c>
      <c r="X74" s="207">
        <f>[1]!'ai[70].EN'</f>
        <v>1</v>
      </c>
      <c r="Y74" s="207">
        <f>[1]!'ai[70].i'</f>
        <v>1.8844599999999999E-3</v>
      </c>
      <c r="Z74" s="207">
        <f>[1]!'ai[70].isForce'</f>
        <v>0</v>
      </c>
      <c r="AA74" s="207" t="e">
        <f>[1]!'ai[70].vRaw'</f>
        <v>#REF!</v>
      </c>
      <c r="AB74" s="207">
        <f>[1]!'ai[70].isCorrect'</f>
        <v>0</v>
      </c>
      <c r="AC74" s="207" t="e">
        <f>[1]!'ai[70].vCorrect'</f>
        <v>#REF!</v>
      </c>
      <c r="AD74" s="207">
        <f>[1]!'ai[70].v'</f>
        <v>0</v>
      </c>
      <c r="AE74" s="207" t="e">
        <f>[1]!'ai[70].isCut'</f>
        <v>#REF!</v>
      </c>
      <c r="AF74" s="207" t="e">
        <f>[1]!'ai[70].vCut'</f>
        <v>#REF!</v>
      </c>
      <c r="AG74" s="208"/>
      <c r="AH74" s="207">
        <f>[1]!'ai[70].break.sgn'</f>
        <v>1</v>
      </c>
      <c r="AI74" s="208"/>
      <c r="AJ74" s="207">
        <f>[1]!'ai[70].ZL'</f>
        <v>0</v>
      </c>
      <c r="AK74" s="207">
        <f>[1]!'ai[70].ZH'</f>
        <v>100</v>
      </c>
      <c r="AL74" s="208"/>
      <c r="AM74" s="207">
        <f>[1]!'ai[70].RL.EN'</f>
        <v>1</v>
      </c>
      <c r="AN74" s="207">
        <f>[1]!'ai[70].RL.V'</f>
        <v>20</v>
      </c>
      <c r="AO74" s="207">
        <f>[1]!'ai[70].RL.fix'</f>
        <v>0</v>
      </c>
      <c r="AP74" s="208"/>
      <c r="AQ74" s="207">
        <f>[1]!'ai[70].RH.EN'</f>
        <v>1</v>
      </c>
      <c r="AR74" s="207">
        <f>[1]!'ai[70].RH.V'</f>
        <v>80</v>
      </c>
      <c r="AS74" s="207">
        <f>[1]!'ai[70].RH.fix'</f>
        <v>0</v>
      </c>
      <c r="AT74" s="208"/>
      <c r="AU74" s="207">
        <f>[1]!'ai[70].L.EN'</f>
        <v>0</v>
      </c>
      <c r="AV74" s="207">
        <f>[1]!'ai[70].L.V'</f>
        <v>0</v>
      </c>
      <c r="AW74" s="207">
        <f>[1]!'ai[70].L.fix'</f>
        <v>0</v>
      </c>
      <c r="AX74" s="208"/>
      <c r="AY74" s="207">
        <f>[1]!'ai[70].H.EN'</f>
        <v>0</v>
      </c>
      <c r="AZ74" s="207">
        <f>[1]!'ai[70].H.V'</f>
        <v>0</v>
      </c>
      <c r="BA74" s="207">
        <f>[1]!'ai[70].H.fix'</f>
        <v>0</v>
      </c>
      <c r="BB74" s="208"/>
      <c r="BC74" s="207">
        <f>[1]!'ai[70].LL.EN'</f>
        <v>0</v>
      </c>
      <c r="BD74" s="207">
        <f>[1]!'ai[70].LL.V'</f>
        <v>0</v>
      </c>
      <c r="BE74" s="207">
        <f>[1]!'ai[70].LL.fix'</f>
        <v>0</v>
      </c>
      <c r="BF74" s="208"/>
      <c r="BG74" s="207">
        <f>[1]!'ai[70].HH.EN'</f>
        <v>0</v>
      </c>
      <c r="BH74" s="207">
        <f>[1]!'ai[70].HH.V'</f>
        <v>0</v>
      </c>
      <c r="BI74" s="207">
        <f>[1]!'ai[70].HH.fix'</f>
        <v>0</v>
      </c>
      <c r="BJ74" s="210"/>
      <c r="BK74" s="207">
        <f>[1]!'ai[70].group'</f>
        <v>2</v>
      </c>
      <c r="BL74" s="207">
        <f>[1]!'ai[70].state'</f>
        <v>4</v>
      </c>
      <c r="BM74" s="207">
        <f>[1]!'ai[70].isInvScale'</f>
        <v>0</v>
      </c>
    </row>
    <row r="75" spans="1:65">
      <c r="A75" s="445"/>
      <c r="B75" s="446"/>
      <c r="C75" s="221">
        <v>7</v>
      </c>
      <c r="D75" s="221">
        <v>7</v>
      </c>
      <c r="E75" s="222" t="s">
        <v>379</v>
      </c>
      <c r="F75" s="222" t="s">
        <v>380</v>
      </c>
      <c r="G75" s="207">
        <f>[1]!'ai[71].ZL'</f>
        <v>0</v>
      </c>
      <c r="H75" s="207">
        <f>[1]!'ai[71].ZH'</f>
        <v>100</v>
      </c>
      <c r="I75" s="221" t="s">
        <v>366</v>
      </c>
      <c r="J75" s="207">
        <f>[1]!'ai[71].RL.V'</f>
        <v>20</v>
      </c>
      <c r="K75" s="207">
        <f>[1]!'ai[71].RH.V'</f>
        <v>80</v>
      </c>
      <c r="L75" s="207">
        <f>[1]!'ai[71].L.V'</f>
        <v>0</v>
      </c>
      <c r="M75" s="207">
        <f>[1]!'ai[71].H.V'</f>
        <v>0</v>
      </c>
      <c r="N75" s="207">
        <f>[1]!'ai[71].LL.V'</f>
        <v>0</v>
      </c>
      <c r="O75" s="207">
        <f>[1]!'ai[71].HH.V'</f>
        <v>0</v>
      </c>
      <c r="P75" s="223">
        <v>1</v>
      </c>
      <c r="Q75" s="224">
        <v>0</v>
      </c>
      <c r="R75" s="184"/>
      <c r="T75" s="207">
        <f>[1]!'ai[71].group'</f>
        <v>2</v>
      </c>
      <c r="X75" s="207">
        <f>[1]!'ai[71].EN'</f>
        <v>1</v>
      </c>
      <c r="Y75" s="207">
        <f>[1]!'ai[71].i'</f>
        <v>1.8844599999999999E-3</v>
      </c>
      <c r="Z75" s="207">
        <f>[1]!'ai[71].isForce'</f>
        <v>0</v>
      </c>
      <c r="AA75" s="207" t="e">
        <f>[1]!'ai[71].vRaw'</f>
        <v>#REF!</v>
      </c>
      <c r="AB75" s="207">
        <f>[1]!'ai[71].isCorrect'</f>
        <v>0</v>
      </c>
      <c r="AC75" s="207" t="e">
        <f>[1]!'ai[71].vCorrect'</f>
        <v>#REF!</v>
      </c>
      <c r="AD75" s="207">
        <f>[1]!'ai[71].v'</f>
        <v>0</v>
      </c>
      <c r="AE75" s="207" t="e">
        <f>[1]!'ai[71].isCut'</f>
        <v>#REF!</v>
      </c>
      <c r="AF75" s="207" t="e">
        <f>[1]!'ai[71].vCut'</f>
        <v>#REF!</v>
      </c>
      <c r="AG75" s="208"/>
      <c r="AH75" s="207">
        <f>[1]!'ai[71].break.sgn'</f>
        <v>1</v>
      </c>
      <c r="AI75" s="208"/>
      <c r="AJ75" s="207">
        <f>[1]!'ai[71].ZL'</f>
        <v>0</v>
      </c>
      <c r="AK75" s="207">
        <f>[1]!'ai[71].ZH'</f>
        <v>100</v>
      </c>
      <c r="AL75" s="208"/>
      <c r="AM75" s="207">
        <f>[1]!'ai[71].RL.EN'</f>
        <v>1</v>
      </c>
      <c r="AN75" s="207">
        <f>[1]!'ai[71].RL.V'</f>
        <v>20</v>
      </c>
      <c r="AO75" s="207">
        <f>[1]!'ai[71].RL.fix'</f>
        <v>0</v>
      </c>
      <c r="AP75" s="208"/>
      <c r="AQ75" s="207">
        <f>[1]!'ai[71].RH.EN'</f>
        <v>1</v>
      </c>
      <c r="AR75" s="207">
        <f>[1]!'ai[71].RH.V'</f>
        <v>80</v>
      </c>
      <c r="AS75" s="207">
        <f>[1]!'ai[71].RH.fix'</f>
        <v>0</v>
      </c>
      <c r="AT75" s="208"/>
      <c r="AU75" s="207">
        <f>[1]!'ai[71].L.EN'</f>
        <v>0</v>
      </c>
      <c r="AV75" s="207">
        <f>[1]!'ai[71].L.V'</f>
        <v>0</v>
      </c>
      <c r="AW75" s="207">
        <f>[1]!'ai[71].L.fix'</f>
        <v>0</v>
      </c>
      <c r="AX75" s="208"/>
      <c r="AY75" s="207">
        <f>[1]!'ai[71].H.EN'</f>
        <v>0</v>
      </c>
      <c r="AZ75" s="207">
        <f>[1]!'ai[71].H.V'</f>
        <v>0</v>
      </c>
      <c r="BA75" s="207">
        <f>[1]!'ai[71].H.fix'</f>
        <v>0</v>
      </c>
      <c r="BB75" s="208"/>
      <c r="BC75" s="207">
        <f>[1]!'ai[71].LL.EN'</f>
        <v>0</v>
      </c>
      <c r="BD75" s="207">
        <f>[1]!'ai[71].LL.V'</f>
        <v>0</v>
      </c>
      <c r="BE75" s="207">
        <f>[1]!'ai[71].LL.fix'</f>
        <v>0</v>
      </c>
      <c r="BF75" s="208"/>
      <c r="BG75" s="207">
        <f>[1]!'ai[71].HH.EN'</f>
        <v>0</v>
      </c>
      <c r="BH75" s="207">
        <f>[1]!'ai[71].HH.V'</f>
        <v>0</v>
      </c>
      <c r="BI75" s="207">
        <f>[1]!'ai[71].HH.fix'</f>
        <v>0</v>
      </c>
      <c r="BJ75" s="210"/>
      <c r="BK75" s="207">
        <f>[1]!'ai[71].group'</f>
        <v>2</v>
      </c>
      <c r="BL75" s="207">
        <f>[1]!'ai[71].state'</f>
        <v>4</v>
      </c>
      <c r="BM75" s="207">
        <f>[1]!'ai[71].isInvScale'</f>
        <v>0</v>
      </c>
    </row>
    <row r="76" spans="1:65">
      <c r="A76" s="445"/>
      <c r="B76" s="446"/>
      <c r="C76" s="221">
        <v>8</v>
      </c>
      <c r="D76" s="221">
        <v>8</v>
      </c>
      <c r="E76" s="222" t="s">
        <v>381</v>
      </c>
      <c r="F76" s="222" t="s">
        <v>382</v>
      </c>
      <c r="G76" s="207">
        <f>[1]!'ai[72].ZL'</f>
        <v>0</v>
      </c>
      <c r="H76" s="207">
        <f>[1]!'ai[72].ZH'</f>
        <v>100</v>
      </c>
      <c r="I76" s="221" t="s">
        <v>383</v>
      </c>
      <c r="J76" s="207">
        <f>[1]!'ai[72].RL.V'</f>
        <v>20</v>
      </c>
      <c r="K76" s="207">
        <f>[1]!'ai[72].RH.V'</f>
        <v>80</v>
      </c>
      <c r="L76" s="207">
        <f>[1]!'ai[72].L.V'</f>
        <v>0</v>
      </c>
      <c r="M76" s="207">
        <f>[1]!'ai[72].H.V'</f>
        <v>0</v>
      </c>
      <c r="N76" s="207">
        <f>[1]!'ai[72].LL.V'</f>
        <v>0</v>
      </c>
      <c r="O76" s="207">
        <f>[1]!'ai[72].HH.V'</f>
        <v>0</v>
      </c>
      <c r="P76" s="223">
        <v>1</v>
      </c>
      <c r="Q76" s="224"/>
      <c r="R76" s="184"/>
      <c r="T76" s="207">
        <f>[1]!'ai[72].group'</f>
        <v>2</v>
      </c>
      <c r="X76" s="207">
        <f>[1]!'ai[72].EN'</f>
        <v>1</v>
      </c>
      <c r="Y76" s="207">
        <f>[1]!'ai[72].i'</f>
        <v>9.4223020000000002E-4</v>
      </c>
      <c r="Z76" s="207">
        <f>[1]!'ai[72].isForce'</f>
        <v>0</v>
      </c>
      <c r="AA76" s="207" t="e">
        <f>[1]!'ai[72].vRaw'</f>
        <v>#REF!</v>
      </c>
      <c r="AB76" s="207">
        <f>[1]!'ai[72].isCorrect'</f>
        <v>0</v>
      </c>
      <c r="AC76" s="207" t="e">
        <f>[1]!'ai[72].vCorrect'</f>
        <v>#REF!</v>
      </c>
      <c r="AD76" s="207">
        <f>[1]!'ai[72].v'</f>
        <v>0</v>
      </c>
      <c r="AE76" s="207" t="e">
        <f>[1]!'ai[72].isCut'</f>
        <v>#REF!</v>
      </c>
      <c r="AF76" s="207" t="e">
        <f>[1]!'ai[72].vCut'</f>
        <v>#REF!</v>
      </c>
      <c r="AG76" s="208"/>
      <c r="AH76" s="207">
        <f>[1]!'ai[72].break.sgn'</f>
        <v>1</v>
      </c>
      <c r="AI76" s="208"/>
      <c r="AJ76" s="207">
        <f>[1]!'ai[72].ZL'</f>
        <v>0</v>
      </c>
      <c r="AK76" s="207">
        <f>[1]!'ai[72].ZH'</f>
        <v>100</v>
      </c>
      <c r="AL76" s="208"/>
      <c r="AM76" s="207">
        <f>[1]!'ai[72].RL.EN'</f>
        <v>1</v>
      </c>
      <c r="AN76" s="207">
        <f>[1]!'ai[72].RL.V'</f>
        <v>20</v>
      </c>
      <c r="AO76" s="207">
        <f>[1]!'ai[72].RL.fix'</f>
        <v>0</v>
      </c>
      <c r="AP76" s="208"/>
      <c r="AQ76" s="207">
        <f>[1]!'ai[72].RH.EN'</f>
        <v>1</v>
      </c>
      <c r="AR76" s="207">
        <f>[1]!'ai[72].RH.V'</f>
        <v>80</v>
      </c>
      <c r="AS76" s="207">
        <f>[1]!'ai[72].RH.fix'</f>
        <v>0</v>
      </c>
      <c r="AT76" s="208"/>
      <c r="AU76" s="207">
        <f>[1]!'ai[72].L.EN'</f>
        <v>0</v>
      </c>
      <c r="AV76" s="207">
        <f>[1]!'ai[72].L.V'</f>
        <v>0</v>
      </c>
      <c r="AW76" s="207">
        <f>[1]!'ai[72].L.fix'</f>
        <v>0</v>
      </c>
      <c r="AX76" s="208"/>
      <c r="AY76" s="207">
        <f>[1]!'ai[72].H.EN'</f>
        <v>0</v>
      </c>
      <c r="AZ76" s="207">
        <f>[1]!'ai[72].H.V'</f>
        <v>0</v>
      </c>
      <c r="BA76" s="207">
        <f>[1]!'ai[72].H.fix'</f>
        <v>0</v>
      </c>
      <c r="BB76" s="208"/>
      <c r="BC76" s="207">
        <f>[1]!'ai[72].LL.EN'</f>
        <v>0</v>
      </c>
      <c r="BD76" s="207">
        <f>[1]!'ai[72].LL.V'</f>
        <v>0</v>
      </c>
      <c r="BE76" s="207">
        <f>[1]!'ai[72].LL.fix'</f>
        <v>0</v>
      </c>
      <c r="BF76" s="208"/>
      <c r="BG76" s="207">
        <f>[1]!'ai[72].HH.EN'</f>
        <v>0</v>
      </c>
      <c r="BH76" s="207">
        <f>[1]!'ai[72].HH.V'</f>
        <v>0</v>
      </c>
      <c r="BI76" s="207">
        <f>[1]!'ai[72].HH.fix'</f>
        <v>0</v>
      </c>
      <c r="BJ76" s="210"/>
      <c r="BK76" s="207">
        <f>[1]!'ai[72].group'</f>
        <v>2</v>
      </c>
      <c r="BL76" s="207">
        <f>[1]!'ai[72].state'</f>
        <v>4</v>
      </c>
      <c r="BM76" s="207">
        <f>[1]!'ai[72].isInvScale'</f>
        <v>0</v>
      </c>
    </row>
    <row r="77" spans="1:65">
      <c r="A77" s="445"/>
      <c r="B77" s="446"/>
      <c r="C77" s="221">
        <v>9</v>
      </c>
      <c r="D77" s="221">
        <v>9</v>
      </c>
      <c r="E77" s="222" t="s">
        <v>384</v>
      </c>
      <c r="F77" s="222" t="s">
        <v>385</v>
      </c>
      <c r="G77" s="207">
        <f>[1]!'ai[73].ZL'</f>
        <v>0</v>
      </c>
      <c r="H77" s="207">
        <f>[1]!'ai[73].ZH'</f>
        <v>300</v>
      </c>
      <c r="I77" s="221" t="s">
        <v>383</v>
      </c>
      <c r="J77" s="207">
        <f>[1]!'ai[73].RL.V'</f>
        <v>160</v>
      </c>
      <c r="K77" s="207">
        <f>[1]!'ai[73].RH.V'</f>
        <v>170</v>
      </c>
      <c r="L77" s="207">
        <f>[1]!'ai[73].L.V'</f>
        <v>0</v>
      </c>
      <c r="M77" s="207">
        <f>[1]!'ai[73].H.V'</f>
        <v>0</v>
      </c>
      <c r="N77" s="207">
        <f>[1]!'ai[73].LL.V'</f>
        <v>0</v>
      </c>
      <c r="O77" s="207">
        <f>[1]!'ai[73].HH.V'</f>
        <v>0</v>
      </c>
      <c r="P77" s="223">
        <v>1</v>
      </c>
      <c r="Q77" s="224"/>
      <c r="R77" s="184"/>
      <c r="T77" s="207">
        <f>[1]!'ai[73].group'</f>
        <v>2</v>
      </c>
      <c r="X77" s="207">
        <f>[1]!'ai[73].EN'</f>
        <v>1</v>
      </c>
      <c r="Y77" s="207">
        <f>[1]!'ai[73].i'</f>
        <v>1.2559890000000001E-3</v>
      </c>
      <c r="Z77" s="207">
        <f>[1]!'ai[73].isForce'</f>
        <v>0</v>
      </c>
      <c r="AA77" s="207" t="e">
        <f>[1]!'ai[73].vRaw'</f>
        <v>#REF!</v>
      </c>
      <c r="AB77" s="207">
        <f>[1]!'ai[73].isCorrect'</f>
        <v>0</v>
      </c>
      <c r="AC77" s="207" t="e">
        <f>[1]!'ai[73].vCorrect'</f>
        <v>#REF!</v>
      </c>
      <c r="AD77" s="207">
        <f>[1]!'ai[73].v'</f>
        <v>0</v>
      </c>
      <c r="AE77" s="207" t="e">
        <f>[1]!'ai[73].isCut'</f>
        <v>#REF!</v>
      </c>
      <c r="AF77" s="207" t="e">
        <f>[1]!'ai[73].vCut'</f>
        <v>#REF!</v>
      </c>
      <c r="AG77" s="208"/>
      <c r="AH77" s="207">
        <f>[1]!'ai[73].break.sgn'</f>
        <v>1</v>
      </c>
      <c r="AI77" s="208"/>
      <c r="AJ77" s="207">
        <f>[1]!'ai[73].ZL'</f>
        <v>0</v>
      </c>
      <c r="AK77" s="207">
        <f>[1]!'ai[73].ZH'</f>
        <v>300</v>
      </c>
      <c r="AL77" s="208"/>
      <c r="AM77" s="207">
        <f>[1]!'ai[73].RL.EN'</f>
        <v>1</v>
      </c>
      <c r="AN77" s="207">
        <f>[1]!'ai[73].RL.V'</f>
        <v>160</v>
      </c>
      <c r="AO77" s="207">
        <f>[1]!'ai[73].RL.fix'</f>
        <v>0</v>
      </c>
      <c r="AP77" s="208"/>
      <c r="AQ77" s="207">
        <f>[1]!'ai[73].RH.EN'</f>
        <v>1</v>
      </c>
      <c r="AR77" s="207">
        <f>[1]!'ai[73].RH.V'</f>
        <v>170</v>
      </c>
      <c r="AS77" s="207">
        <f>[1]!'ai[73].RH.fix'</f>
        <v>0</v>
      </c>
      <c r="AT77" s="208"/>
      <c r="AU77" s="207">
        <f>[1]!'ai[73].L.EN'</f>
        <v>0</v>
      </c>
      <c r="AV77" s="207">
        <f>[1]!'ai[73].L.V'</f>
        <v>0</v>
      </c>
      <c r="AW77" s="207">
        <f>[1]!'ai[73].L.fix'</f>
        <v>0</v>
      </c>
      <c r="AX77" s="208"/>
      <c r="AY77" s="207">
        <f>[1]!'ai[73].H.EN'</f>
        <v>0</v>
      </c>
      <c r="AZ77" s="207">
        <f>[1]!'ai[73].H.V'</f>
        <v>0</v>
      </c>
      <c r="BA77" s="207">
        <f>[1]!'ai[73].H.fix'</f>
        <v>0</v>
      </c>
      <c r="BB77" s="208"/>
      <c r="BC77" s="207">
        <f>[1]!'ai[73].LL.EN'</f>
        <v>0</v>
      </c>
      <c r="BD77" s="207">
        <f>[1]!'ai[73].LL.V'</f>
        <v>0</v>
      </c>
      <c r="BE77" s="207">
        <f>[1]!'ai[73].LL.fix'</f>
        <v>0</v>
      </c>
      <c r="BF77" s="208"/>
      <c r="BG77" s="207">
        <f>[1]!'ai[73].HH.EN'</f>
        <v>0</v>
      </c>
      <c r="BH77" s="207">
        <f>[1]!'ai[73].HH.V'</f>
        <v>0</v>
      </c>
      <c r="BI77" s="207">
        <f>[1]!'ai[73].HH.fix'</f>
        <v>0</v>
      </c>
      <c r="BJ77" s="210"/>
      <c r="BK77" s="207">
        <f>[1]!'ai[73].group'</f>
        <v>2</v>
      </c>
      <c r="BL77" s="207">
        <f>[1]!'ai[73].state'</f>
        <v>4</v>
      </c>
      <c r="BM77" s="207">
        <f>[1]!'ai[73].isInvScale'</f>
        <v>0</v>
      </c>
    </row>
    <row r="78" spans="1:65">
      <c r="A78" s="445"/>
      <c r="B78" s="446"/>
      <c r="C78" s="221">
        <v>10</v>
      </c>
      <c r="D78" s="221">
        <v>10</v>
      </c>
      <c r="E78" s="222" t="s">
        <v>386</v>
      </c>
      <c r="F78" s="222" t="s">
        <v>387</v>
      </c>
      <c r="G78" s="207">
        <f>[1]!'ai[74].ZL'</f>
        <v>0</v>
      </c>
      <c r="H78" s="207">
        <f>[1]!'ai[74].ZH'</f>
        <v>300</v>
      </c>
      <c r="I78" s="221" t="s">
        <v>366</v>
      </c>
      <c r="J78" s="207">
        <f>[1]!'ai[74].RL.V'</f>
        <v>160</v>
      </c>
      <c r="K78" s="207">
        <f>[1]!'ai[74].RH.V'</f>
        <v>170</v>
      </c>
      <c r="L78" s="207">
        <f>[1]!'ai[74].L.V'</f>
        <v>0</v>
      </c>
      <c r="M78" s="207">
        <f>[1]!'ai[74].H.V'</f>
        <v>0</v>
      </c>
      <c r="N78" s="207">
        <f>[1]!'ai[74].LL.V'</f>
        <v>0</v>
      </c>
      <c r="O78" s="207">
        <f>[1]!'ai[74].HH.V'</f>
        <v>0</v>
      </c>
      <c r="P78" s="223">
        <v>4</v>
      </c>
      <c r="Q78" s="224">
        <v>3</v>
      </c>
      <c r="R78" s="184"/>
      <c r="T78" s="207">
        <f>[1]!'ai[74].group'</f>
        <v>2</v>
      </c>
      <c r="X78" s="207">
        <f>[1]!'ai[74].EN'</f>
        <v>1</v>
      </c>
      <c r="Y78" s="207">
        <f>[1]!'ai[74].i'</f>
        <v>1.2559890000000001E-3</v>
      </c>
      <c r="Z78" s="207">
        <f>[1]!'ai[74].isForce'</f>
        <v>0</v>
      </c>
      <c r="AA78" s="207" t="e">
        <f>[1]!'ai[74].vRaw'</f>
        <v>#REF!</v>
      </c>
      <c r="AB78" s="207">
        <f>[1]!'ai[74].isCorrect'</f>
        <v>0</v>
      </c>
      <c r="AC78" s="207" t="e">
        <f>[1]!'ai[74].vCorrect'</f>
        <v>#REF!</v>
      </c>
      <c r="AD78" s="207">
        <f>[1]!'ai[74].v'</f>
        <v>0</v>
      </c>
      <c r="AE78" s="207" t="e">
        <f>[1]!'ai[74].isCut'</f>
        <v>#REF!</v>
      </c>
      <c r="AF78" s="207" t="e">
        <f>[1]!'ai[74].vCut'</f>
        <v>#REF!</v>
      </c>
      <c r="AG78" s="208"/>
      <c r="AH78" s="207">
        <f>[1]!'ai[74].break.sgn'</f>
        <v>1</v>
      </c>
      <c r="AI78" s="208"/>
      <c r="AJ78" s="207">
        <f>[1]!'ai[74].ZL'</f>
        <v>0</v>
      </c>
      <c r="AK78" s="207">
        <f>[1]!'ai[74].ZH'</f>
        <v>300</v>
      </c>
      <c r="AL78" s="208"/>
      <c r="AM78" s="207">
        <f>[1]!'ai[74].RL.EN'</f>
        <v>1</v>
      </c>
      <c r="AN78" s="207">
        <f>[1]!'ai[74].RL.V'</f>
        <v>160</v>
      </c>
      <c r="AO78" s="207">
        <f>[1]!'ai[74].RL.fix'</f>
        <v>0</v>
      </c>
      <c r="AP78" s="208"/>
      <c r="AQ78" s="207">
        <f>[1]!'ai[74].RH.EN'</f>
        <v>1</v>
      </c>
      <c r="AR78" s="207">
        <f>[1]!'ai[74].RH.V'</f>
        <v>170</v>
      </c>
      <c r="AS78" s="207">
        <f>[1]!'ai[74].RH.fix'</f>
        <v>0</v>
      </c>
      <c r="AT78" s="208"/>
      <c r="AU78" s="207">
        <f>[1]!'ai[74].L.EN'</f>
        <v>0</v>
      </c>
      <c r="AV78" s="207">
        <f>[1]!'ai[74].L.V'</f>
        <v>0</v>
      </c>
      <c r="AW78" s="207">
        <f>[1]!'ai[74].L.fix'</f>
        <v>0</v>
      </c>
      <c r="AX78" s="208"/>
      <c r="AY78" s="207">
        <f>[1]!'ai[74].H.EN'</f>
        <v>0</v>
      </c>
      <c r="AZ78" s="207">
        <f>[1]!'ai[74].H.V'</f>
        <v>0</v>
      </c>
      <c r="BA78" s="207">
        <f>[1]!'ai[74].H.fix'</f>
        <v>0</v>
      </c>
      <c r="BB78" s="208"/>
      <c r="BC78" s="207">
        <f>[1]!'ai[74].LL.EN'</f>
        <v>0</v>
      </c>
      <c r="BD78" s="207">
        <f>[1]!'ai[74].LL.V'</f>
        <v>0</v>
      </c>
      <c r="BE78" s="207">
        <f>[1]!'ai[74].LL.fix'</f>
        <v>0</v>
      </c>
      <c r="BF78" s="208"/>
      <c r="BG78" s="207">
        <f>[1]!'ai[74].HH.EN'</f>
        <v>0</v>
      </c>
      <c r="BH78" s="207">
        <f>[1]!'ai[74].HH.V'</f>
        <v>0</v>
      </c>
      <c r="BI78" s="207">
        <f>[1]!'ai[74].HH.fix'</f>
        <v>0</v>
      </c>
      <c r="BJ78" s="210"/>
      <c r="BK78" s="207">
        <f>[1]!'ai[74].group'</f>
        <v>2</v>
      </c>
      <c r="BL78" s="207">
        <f>[1]!'ai[74].state'</f>
        <v>4</v>
      </c>
      <c r="BM78" s="207">
        <f>[1]!'ai[74].isInvScale'</f>
        <v>0</v>
      </c>
    </row>
    <row r="79" spans="1:65">
      <c r="A79" s="445"/>
      <c r="B79" s="446"/>
      <c r="C79" s="221">
        <v>11</v>
      </c>
      <c r="D79" s="221">
        <v>11</v>
      </c>
      <c r="E79" s="222" t="s">
        <v>388</v>
      </c>
      <c r="F79" s="222" t="s">
        <v>389</v>
      </c>
      <c r="G79" s="207">
        <f>[1]!'ai[75].ZL'</f>
        <v>0</v>
      </c>
      <c r="H79" s="207">
        <f>[1]!'ai[75].ZH'</f>
        <v>300</v>
      </c>
      <c r="I79" s="221" t="s">
        <v>366</v>
      </c>
      <c r="J79" s="207">
        <f>[1]!'ai[75].RL.V'</f>
        <v>160</v>
      </c>
      <c r="K79" s="207">
        <f>[1]!'ai[75].RH.V'</f>
        <v>170</v>
      </c>
      <c r="L79" s="207">
        <f>[1]!'ai[75].L.V'</f>
        <v>0</v>
      </c>
      <c r="M79" s="207">
        <f>[1]!'ai[75].H.V'</f>
        <v>0</v>
      </c>
      <c r="N79" s="207">
        <f>[1]!'ai[75].LL.V'</f>
        <v>0</v>
      </c>
      <c r="O79" s="207">
        <f>[1]!'ai[75].HH.V'</f>
        <v>0</v>
      </c>
      <c r="P79" s="223">
        <v>4</v>
      </c>
      <c r="Q79" s="224">
        <v>3</v>
      </c>
      <c r="R79" s="184"/>
      <c r="T79" s="207">
        <f>[1]!'ai[75].group'</f>
        <v>2</v>
      </c>
      <c r="X79" s="207">
        <f>[1]!'ai[75].EN'</f>
        <v>1</v>
      </c>
      <c r="Y79" s="207">
        <f>[1]!'ai[75].i'</f>
        <v>1.2559890000000001E-3</v>
      </c>
      <c r="Z79" s="207">
        <f>[1]!'ai[75].isForce'</f>
        <v>0</v>
      </c>
      <c r="AA79" s="207" t="e">
        <f>[1]!'ai[75].vRaw'</f>
        <v>#REF!</v>
      </c>
      <c r="AB79" s="207">
        <f>[1]!'ai[75].isCorrect'</f>
        <v>0</v>
      </c>
      <c r="AC79" s="207" t="e">
        <f>[1]!'ai[75].vCorrect'</f>
        <v>#REF!</v>
      </c>
      <c r="AD79" s="207">
        <f>[1]!'ai[75].v'</f>
        <v>0</v>
      </c>
      <c r="AE79" s="207" t="e">
        <f>[1]!'ai[75].isCut'</f>
        <v>#REF!</v>
      </c>
      <c r="AF79" s="207" t="e">
        <f>[1]!'ai[75].vCut'</f>
        <v>#REF!</v>
      </c>
      <c r="AG79" s="208"/>
      <c r="AH79" s="207">
        <f>[1]!'ai[75].break.sgn'</f>
        <v>1</v>
      </c>
      <c r="AI79" s="208"/>
      <c r="AJ79" s="207">
        <f>[1]!'ai[75].ZL'</f>
        <v>0</v>
      </c>
      <c r="AK79" s="207">
        <f>[1]!'ai[75].ZH'</f>
        <v>300</v>
      </c>
      <c r="AL79" s="208"/>
      <c r="AM79" s="207">
        <f>[1]!'ai[75].RL.EN'</f>
        <v>1</v>
      </c>
      <c r="AN79" s="207">
        <f>[1]!'ai[75].RL.V'</f>
        <v>160</v>
      </c>
      <c r="AO79" s="207">
        <f>[1]!'ai[75].RL.fix'</f>
        <v>0</v>
      </c>
      <c r="AP79" s="208"/>
      <c r="AQ79" s="207">
        <f>[1]!'ai[75].RH.EN'</f>
        <v>1</v>
      </c>
      <c r="AR79" s="207">
        <f>[1]!'ai[75].RH.V'</f>
        <v>170</v>
      </c>
      <c r="AS79" s="207">
        <f>[1]!'ai[75].RH.fix'</f>
        <v>0</v>
      </c>
      <c r="AT79" s="208"/>
      <c r="AU79" s="207">
        <f>[1]!'ai[75].L.EN'</f>
        <v>0</v>
      </c>
      <c r="AV79" s="207">
        <f>[1]!'ai[75].L.V'</f>
        <v>0</v>
      </c>
      <c r="AW79" s="207">
        <f>[1]!'ai[75].L.fix'</f>
        <v>0</v>
      </c>
      <c r="AX79" s="208"/>
      <c r="AY79" s="207">
        <f>[1]!'ai[75].H.EN'</f>
        <v>0</v>
      </c>
      <c r="AZ79" s="207">
        <f>[1]!'ai[75].H.V'</f>
        <v>0</v>
      </c>
      <c r="BA79" s="207">
        <f>[1]!'ai[75].H.fix'</f>
        <v>0</v>
      </c>
      <c r="BB79" s="208"/>
      <c r="BC79" s="207">
        <f>[1]!'ai[75].LL.EN'</f>
        <v>0</v>
      </c>
      <c r="BD79" s="207">
        <f>[1]!'ai[75].LL.V'</f>
        <v>0</v>
      </c>
      <c r="BE79" s="207">
        <f>[1]!'ai[75].LL.fix'</f>
        <v>0</v>
      </c>
      <c r="BF79" s="208"/>
      <c r="BG79" s="207">
        <f>[1]!'ai[75].HH.EN'</f>
        <v>0</v>
      </c>
      <c r="BH79" s="207">
        <f>[1]!'ai[75].HH.V'</f>
        <v>0</v>
      </c>
      <c r="BI79" s="207">
        <f>[1]!'ai[75].HH.fix'</f>
        <v>0</v>
      </c>
      <c r="BJ79" s="210"/>
      <c r="BK79" s="207">
        <f>[1]!'ai[75].group'</f>
        <v>2</v>
      </c>
      <c r="BL79" s="207">
        <f>[1]!'ai[75].state'</f>
        <v>4</v>
      </c>
      <c r="BM79" s="207">
        <f>[1]!'ai[75].isInvScale'</f>
        <v>0</v>
      </c>
    </row>
    <row r="80" spans="1:65">
      <c r="A80" s="445"/>
      <c r="B80" s="446"/>
      <c r="C80" s="221">
        <v>12</v>
      </c>
      <c r="D80" s="221">
        <v>12</v>
      </c>
      <c r="E80" s="222" t="s">
        <v>390</v>
      </c>
      <c r="F80" s="222" t="s">
        <v>391</v>
      </c>
      <c r="G80" s="207">
        <f>[1]!'ai[76].ZL'</f>
        <v>0</v>
      </c>
      <c r="H80" s="207">
        <f>[1]!'ai[76].ZH'</f>
        <v>300</v>
      </c>
      <c r="I80" s="221" t="s">
        <v>366</v>
      </c>
      <c r="J80" s="207">
        <f>[1]!'ai[76].RL.V'</f>
        <v>0</v>
      </c>
      <c r="K80" s="207">
        <f>[1]!'ai[76].RH.V'</f>
        <v>240</v>
      </c>
      <c r="L80" s="207">
        <f>[1]!'ai[76].L.V'</f>
        <v>0</v>
      </c>
      <c r="M80" s="207">
        <f>[1]!'ai[76].H.V'</f>
        <v>0</v>
      </c>
      <c r="N80" s="207">
        <f>[1]!'ai[76].LL.V'</f>
        <v>0</v>
      </c>
      <c r="O80" s="207">
        <f>[1]!'ai[76].HH.V'</f>
        <v>0</v>
      </c>
      <c r="P80" s="223">
        <v>4</v>
      </c>
      <c r="Q80" s="224">
        <v>3</v>
      </c>
      <c r="R80" s="184"/>
      <c r="T80" s="207">
        <f>[1]!'ai[76].group'</f>
        <v>2</v>
      </c>
      <c r="X80" s="207">
        <f>[1]!'ai[76].EN'</f>
        <v>1</v>
      </c>
      <c r="Y80" s="207">
        <f>[1]!'ai[76].i'</f>
        <v>1.2559890000000001E-3</v>
      </c>
      <c r="Z80" s="207">
        <f>[1]!'ai[76].isForce'</f>
        <v>0</v>
      </c>
      <c r="AA80" s="207" t="e">
        <f>[1]!'ai[76].vRaw'</f>
        <v>#REF!</v>
      </c>
      <c r="AB80" s="207">
        <f>[1]!'ai[76].isCorrect'</f>
        <v>0</v>
      </c>
      <c r="AC80" s="207" t="e">
        <f>[1]!'ai[76].vCorrect'</f>
        <v>#REF!</v>
      </c>
      <c r="AD80" s="207">
        <f>[1]!'ai[76].v'</f>
        <v>0</v>
      </c>
      <c r="AE80" s="207" t="e">
        <f>[1]!'ai[76].isCut'</f>
        <v>#REF!</v>
      </c>
      <c r="AF80" s="207" t="e">
        <f>[1]!'ai[76].vCut'</f>
        <v>#REF!</v>
      </c>
      <c r="AG80" s="208"/>
      <c r="AH80" s="207">
        <f>[1]!'ai[76].break.sgn'</f>
        <v>1</v>
      </c>
      <c r="AI80" s="208"/>
      <c r="AJ80" s="207">
        <f>[1]!'ai[76].ZL'</f>
        <v>0</v>
      </c>
      <c r="AK80" s="207">
        <f>[1]!'ai[76].ZH'</f>
        <v>300</v>
      </c>
      <c r="AL80" s="208"/>
      <c r="AM80" s="207">
        <f>[1]!'ai[76].RL.EN'</f>
        <v>1</v>
      </c>
      <c r="AN80" s="207">
        <f>[1]!'ai[76].RL.V'</f>
        <v>0</v>
      </c>
      <c r="AO80" s="207">
        <f>[1]!'ai[76].RL.fix'</f>
        <v>0</v>
      </c>
      <c r="AP80" s="208"/>
      <c r="AQ80" s="207">
        <f>[1]!'ai[76].RH.EN'</f>
        <v>1</v>
      </c>
      <c r="AR80" s="207">
        <f>[1]!'ai[76].RH.V'</f>
        <v>240</v>
      </c>
      <c r="AS80" s="207">
        <f>[1]!'ai[76].RH.fix'</f>
        <v>0</v>
      </c>
      <c r="AT80" s="208"/>
      <c r="AU80" s="207">
        <f>[1]!'ai[76].L.EN'</f>
        <v>0</v>
      </c>
      <c r="AV80" s="207">
        <f>[1]!'ai[76].L.V'</f>
        <v>0</v>
      </c>
      <c r="AW80" s="207">
        <f>[1]!'ai[76].L.fix'</f>
        <v>0</v>
      </c>
      <c r="AX80" s="208"/>
      <c r="AY80" s="207">
        <f>[1]!'ai[76].H.EN'</f>
        <v>0</v>
      </c>
      <c r="AZ80" s="207">
        <f>[1]!'ai[76].H.V'</f>
        <v>0</v>
      </c>
      <c r="BA80" s="207">
        <f>[1]!'ai[76].H.fix'</f>
        <v>0</v>
      </c>
      <c r="BB80" s="208"/>
      <c r="BC80" s="207">
        <f>[1]!'ai[76].LL.EN'</f>
        <v>0</v>
      </c>
      <c r="BD80" s="207">
        <f>[1]!'ai[76].LL.V'</f>
        <v>0</v>
      </c>
      <c r="BE80" s="207">
        <f>[1]!'ai[76].LL.fix'</f>
        <v>0</v>
      </c>
      <c r="BF80" s="208"/>
      <c r="BG80" s="207">
        <f>[1]!'ai[76].HH.EN'</f>
        <v>0</v>
      </c>
      <c r="BH80" s="207">
        <f>[1]!'ai[76].HH.V'</f>
        <v>0</v>
      </c>
      <c r="BI80" s="207">
        <f>[1]!'ai[76].HH.fix'</f>
        <v>0</v>
      </c>
      <c r="BJ80" s="209"/>
      <c r="BK80" s="207">
        <f>[1]!'ai[76].group'</f>
        <v>2</v>
      </c>
      <c r="BL80" s="207">
        <f>[1]!'ai[76].state'</f>
        <v>4</v>
      </c>
      <c r="BM80" s="207">
        <f>[1]!'ai[76].isInvScale'</f>
        <v>0</v>
      </c>
    </row>
    <row r="81" spans="1:65">
      <c r="A81" s="445"/>
      <c r="B81" s="446"/>
      <c r="C81" s="221">
        <v>13</v>
      </c>
      <c r="D81" s="221">
        <v>13</v>
      </c>
      <c r="E81" s="222" t="s">
        <v>392</v>
      </c>
      <c r="F81" s="222" t="s">
        <v>393</v>
      </c>
      <c r="G81" s="207">
        <f>[1]!'ai[77].ZL'</f>
        <v>0</v>
      </c>
      <c r="H81" s="207">
        <f>[1]!'ai[77].ZH'</f>
        <v>0</v>
      </c>
      <c r="I81" s="221" t="s">
        <v>366</v>
      </c>
      <c r="J81" s="207">
        <f>[1]!'ai[77].RL.V'</f>
        <v>0</v>
      </c>
      <c r="K81" s="207">
        <f>[1]!'ai[77].RH.V'</f>
        <v>0</v>
      </c>
      <c r="L81" s="207">
        <f>[1]!'ai[77].L.V'</f>
        <v>0</v>
      </c>
      <c r="M81" s="207">
        <f>[1]!'ai[77].H.V'</f>
        <v>0</v>
      </c>
      <c r="N81" s="207">
        <f>[1]!'ai[77].LL.V'</f>
        <v>0</v>
      </c>
      <c r="O81" s="207">
        <f>[1]!'ai[77].HH.V'</f>
        <v>0</v>
      </c>
      <c r="P81" s="223">
        <v>4</v>
      </c>
      <c r="Q81" s="224">
        <v>3</v>
      </c>
      <c r="R81" s="184"/>
      <c r="T81" s="207">
        <f>[1]!'ai[77].group'</f>
        <v>0</v>
      </c>
      <c r="X81" s="207">
        <f>[1]!'ai[77].EN'</f>
        <v>0</v>
      </c>
      <c r="Y81" s="207">
        <f>[1]!'ai[77].i'</f>
        <v>0</v>
      </c>
      <c r="Z81" s="207">
        <f>[1]!'ai[77].isForce'</f>
        <v>0</v>
      </c>
      <c r="AA81" s="207" t="e">
        <f>[1]!'ai[77].vRaw'</f>
        <v>#REF!</v>
      </c>
      <c r="AB81" s="207">
        <f>[1]!'ai[77].isCorrect'</f>
        <v>0</v>
      </c>
      <c r="AC81" s="207" t="e">
        <f>[1]!'ai[77].vCorrect'</f>
        <v>#REF!</v>
      </c>
      <c r="AD81" s="207">
        <f>[1]!'ai[77].v'</f>
        <v>0</v>
      </c>
      <c r="AE81" s="207" t="e">
        <f>[1]!'ai[77].isCut'</f>
        <v>#REF!</v>
      </c>
      <c r="AF81" s="207" t="e">
        <f>[1]!'ai[77].vCut'</f>
        <v>#REF!</v>
      </c>
      <c r="AG81" s="208"/>
      <c r="AH81" s="207">
        <f>[1]!'ai[77].break.sgn'</f>
        <v>0</v>
      </c>
      <c r="AI81" s="208"/>
      <c r="AJ81" s="207">
        <f>[1]!'ai[77].ZL'</f>
        <v>0</v>
      </c>
      <c r="AK81" s="207">
        <f>[1]!'ai[77].ZH'</f>
        <v>0</v>
      </c>
      <c r="AL81" s="208"/>
      <c r="AM81" s="207">
        <f>[1]!'ai[77].RL.EN'</f>
        <v>0</v>
      </c>
      <c r="AN81" s="207">
        <f>[1]!'ai[77].RL.V'</f>
        <v>0</v>
      </c>
      <c r="AO81" s="207">
        <f>[1]!'ai[77].RL.fix'</f>
        <v>0</v>
      </c>
      <c r="AP81" s="208"/>
      <c r="AQ81" s="207">
        <f>[1]!'ai[77].RH.EN'</f>
        <v>0</v>
      </c>
      <c r="AR81" s="207">
        <f>[1]!'ai[77].RH.V'</f>
        <v>0</v>
      </c>
      <c r="AS81" s="207">
        <f>[1]!'ai[77].RH.fix'</f>
        <v>0</v>
      </c>
      <c r="AT81" s="208"/>
      <c r="AU81" s="207">
        <f>[1]!'ai[77].L.EN'</f>
        <v>0</v>
      </c>
      <c r="AV81" s="207">
        <f>[1]!'ai[77].L.V'</f>
        <v>0</v>
      </c>
      <c r="AW81" s="207">
        <f>[1]!'ai[77].L.fix'</f>
        <v>0</v>
      </c>
      <c r="AX81" s="208"/>
      <c r="AY81" s="207">
        <f>[1]!'ai[77].H.EN'</f>
        <v>0</v>
      </c>
      <c r="AZ81" s="207">
        <f>[1]!'ai[77].H.V'</f>
        <v>0</v>
      </c>
      <c r="BA81" s="207">
        <f>[1]!'ai[77].H.fix'</f>
        <v>0</v>
      </c>
      <c r="BB81" s="208"/>
      <c r="BC81" s="207">
        <f>[1]!'ai[77].LL.EN'</f>
        <v>0</v>
      </c>
      <c r="BD81" s="207">
        <f>[1]!'ai[77].LL.V'</f>
        <v>0</v>
      </c>
      <c r="BE81" s="207">
        <f>[1]!'ai[77].LL.fix'</f>
        <v>0</v>
      </c>
      <c r="BF81" s="208"/>
      <c r="BG81" s="207">
        <f>[1]!'ai[77].HH.EN'</f>
        <v>0</v>
      </c>
      <c r="BH81" s="207">
        <f>[1]!'ai[77].HH.V'</f>
        <v>0</v>
      </c>
      <c r="BI81" s="207">
        <f>[1]!'ai[77].HH.fix'</f>
        <v>0</v>
      </c>
      <c r="BJ81" s="209"/>
      <c r="BK81" s="207">
        <f>[1]!'ai[77].group'</f>
        <v>0</v>
      </c>
      <c r="BL81" s="207">
        <f>[1]!'ai[77].state'</f>
        <v>4</v>
      </c>
      <c r="BM81" s="207">
        <f>[1]!'ai[77].isInvScale'</f>
        <v>0</v>
      </c>
    </row>
    <row r="82" spans="1:65">
      <c r="A82" s="445"/>
      <c r="B82" s="446"/>
      <c r="C82" s="221">
        <v>14</v>
      </c>
      <c r="D82" s="221">
        <v>14</v>
      </c>
      <c r="E82" s="222" t="s">
        <v>394</v>
      </c>
      <c r="F82" s="222" t="s">
        <v>395</v>
      </c>
      <c r="G82" s="207">
        <f>[1]!'ai[78].ZL'</f>
        <v>0</v>
      </c>
      <c r="H82" s="207">
        <f>[1]!'ai[78].ZH'</f>
        <v>0</v>
      </c>
      <c r="I82" s="221" t="s">
        <v>366</v>
      </c>
      <c r="J82" s="207">
        <f>[1]!'ai[78].RL.V'</f>
        <v>0</v>
      </c>
      <c r="K82" s="207">
        <f>[1]!'ai[78].RH.V'</f>
        <v>0</v>
      </c>
      <c r="L82" s="207">
        <f>[1]!'ai[78].L.V'</f>
        <v>0</v>
      </c>
      <c r="M82" s="207">
        <f>[1]!'ai[78].H.V'</f>
        <v>0</v>
      </c>
      <c r="N82" s="207">
        <f>[1]!'ai[78].LL.V'</f>
        <v>0</v>
      </c>
      <c r="O82" s="207">
        <f>[1]!'ai[78].HH.V'</f>
        <v>0</v>
      </c>
      <c r="P82" s="223">
        <v>4</v>
      </c>
      <c r="Q82" s="224">
        <v>3</v>
      </c>
      <c r="R82" s="184"/>
      <c r="T82" s="207">
        <f>[1]!'ai[78].group'</f>
        <v>0</v>
      </c>
      <c r="X82" s="207">
        <f>[1]!'ai[78].EN'</f>
        <v>0</v>
      </c>
      <c r="Y82" s="207">
        <f>[1]!'ai[78].i'</f>
        <v>0</v>
      </c>
      <c r="Z82" s="207">
        <f>[1]!'ai[78].isForce'</f>
        <v>0</v>
      </c>
      <c r="AA82" s="207" t="e">
        <f>[1]!'ai[78].vRaw'</f>
        <v>#REF!</v>
      </c>
      <c r="AB82" s="207">
        <f>[1]!'ai[78].isCorrect'</f>
        <v>0</v>
      </c>
      <c r="AC82" s="207" t="e">
        <f>[1]!'ai[78].vCorrect'</f>
        <v>#REF!</v>
      </c>
      <c r="AD82" s="207">
        <f>[1]!'ai[78].v'</f>
        <v>0</v>
      </c>
      <c r="AE82" s="207" t="e">
        <f>[1]!'ai[78].isCut'</f>
        <v>#REF!</v>
      </c>
      <c r="AF82" s="207" t="e">
        <f>[1]!'ai[78].vCut'</f>
        <v>#REF!</v>
      </c>
      <c r="AG82" s="208"/>
      <c r="AH82" s="207">
        <f>[1]!'ai[78].break.sgn'</f>
        <v>0</v>
      </c>
      <c r="AI82" s="208"/>
      <c r="AJ82" s="207">
        <f>[1]!'ai[78].ZL'</f>
        <v>0</v>
      </c>
      <c r="AK82" s="207">
        <f>[1]!'ai[78].ZH'</f>
        <v>0</v>
      </c>
      <c r="AL82" s="208"/>
      <c r="AM82" s="207">
        <f>[1]!'ai[78].RL.EN'</f>
        <v>0</v>
      </c>
      <c r="AN82" s="207">
        <f>[1]!'ai[78].RL.V'</f>
        <v>0</v>
      </c>
      <c r="AO82" s="207">
        <f>[1]!'ai[78].RL.fix'</f>
        <v>0</v>
      </c>
      <c r="AP82" s="208"/>
      <c r="AQ82" s="207">
        <f>[1]!'ai[78].RH.EN'</f>
        <v>0</v>
      </c>
      <c r="AR82" s="207">
        <f>[1]!'ai[78].RH.V'</f>
        <v>0</v>
      </c>
      <c r="AS82" s="207">
        <f>[1]!'ai[78].RH.fix'</f>
        <v>0</v>
      </c>
      <c r="AT82" s="208"/>
      <c r="AU82" s="207">
        <f>[1]!'ai[78].L.EN'</f>
        <v>0</v>
      </c>
      <c r="AV82" s="207">
        <f>[1]!'ai[78].L.V'</f>
        <v>0</v>
      </c>
      <c r="AW82" s="207">
        <f>[1]!'ai[78].L.fix'</f>
        <v>0</v>
      </c>
      <c r="AX82" s="208"/>
      <c r="AY82" s="207">
        <f>[1]!'ai[78].H.EN'</f>
        <v>0</v>
      </c>
      <c r="AZ82" s="207">
        <f>[1]!'ai[78].H.V'</f>
        <v>0</v>
      </c>
      <c r="BA82" s="207">
        <f>[1]!'ai[78].H.fix'</f>
        <v>0</v>
      </c>
      <c r="BB82" s="208"/>
      <c r="BC82" s="207">
        <f>[1]!'ai[78].LL.EN'</f>
        <v>0</v>
      </c>
      <c r="BD82" s="207">
        <f>[1]!'ai[78].LL.V'</f>
        <v>0</v>
      </c>
      <c r="BE82" s="207">
        <f>[1]!'ai[78].LL.fix'</f>
        <v>0</v>
      </c>
      <c r="BF82" s="208"/>
      <c r="BG82" s="207">
        <f>[1]!'ai[78].HH.EN'</f>
        <v>0</v>
      </c>
      <c r="BH82" s="207">
        <f>[1]!'ai[78].HH.V'</f>
        <v>0</v>
      </c>
      <c r="BI82" s="207">
        <f>[1]!'ai[78].HH.fix'</f>
        <v>0</v>
      </c>
      <c r="BJ82" s="209"/>
      <c r="BK82" s="207">
        <f>[1]!'ai[78].group'</f>
        <v>0</v>
      </c>
      <c r="BL82" s="207">
        <f>[1]!'ai[78].state'</f>
        <v>4</v>
      </c>
      <c r="BM82" s="207">
        <f>[1]!'ai[78].isInvScale'</f>
        <v>0</v>
      </c>
    </row>
    <row r="83" spans="1:65" ht="15.75" thickBot="1">
      <c r="A83" s="445"/>
      <c r="B83" s="446"/>
      <c r="C83" s="225">
        <v>15</v>
      </c>
      <c r="D83" s="225">
        <v>15</v>
      </c>
      <c r="E83" s="226" t="s">
        <v>396</v>
      </c>
      <c r="F83" s="226" t="s">
        <v>397</v>
      </c>
      <c r="G83" s="207">
        <f>[1]!'ai[79].ZL'</f>
        <v>0</v>
      </c>
      <c r="H83" s="207">
        <f>[1]!'ai[79].ZH'</f>
        <v>0</v>
      </c>
      <c r="I83" s="225" t="s">
        <v>366</v>
      </c>
      <c r="J83" s="207">
        <f>[1]!'ai[79].RL.V'</f>
        <v>0</v>
      </c>
      <c r="K83" s="207">
        <f>[1]!'ai[79].RH.V'</f>
        <v>0</v>
      </c>
      <c r="L83" s="207">
        <f>[1]!'ai[79].L.V'</f>
        <v>0</v>
      </c>
      <c r="M83" s="207">
        <f>[1]!'ai[79].H.V'</f>
        <v>0</v>
      </c>
      <c r="N83" s="207">
        <f>[1]!'ai[79].LL.V'</f>
        <v>0</v>
      </c>
      <c r="O83" s="207">
        <f>[1]!'ai[79].HH.V'</f>
        <v>0</v>
      </c>
      <c r="P83" s="227">
        <v>4</v>
      </c>
      <c r="Q83" s="228">
        <v>3</v>
      </c>
      <c r="R83" s="190"/>
      <c r="T83" s="207">
        <f>[1]!'ai[79].group'</f>
        <v>0</v>
      </c>
      <c r="X83" s="207">
        <f>[1]!'ai[79].EN'</f>
        <v>0</v>
      </c>
      <c r="Y83" s="207">
        <f>[1]!'ai[79].i'</f>
        <v>0</v>
      </c>
      <c r="Z83" s="207">
        <f>[1]!'ai[79].isForce'</f>
        <v>0</v>
      </c>
      <c r="AA83" s="207" t="e">
        <f>[1]!'ai[79].vRaw'</f>
        <v>#REF!</v>
      </c>
      <c r="AB83" s="207">
        <f>[1]!'ai[79].isCorrect'</f>
        <v>0</v>
      </c>
      <c r="AC83" s="207" t="e">
        <f>[1]!'ai[79].vCorrect'</f>
        <v>#REF!</v>
      </c>
      <c r="AD83" s="207">
        <f>[1]!'ai[79].v'</f>
        <v>0</v>
      </c>
      <c r="AE83" s="207" t="e">
        <f>[1]!'ai[79].isCut'</f>
        <v>#REF!</v>
      </c>
      <c r="AF83" s="207" t="e">
        <f>[1]!'ai[79].vCut'</f>
        <v>#REF!</v>
      </c>
      <c r="AG83" s="208"/>
      <c r="AH83" s="207">
        <f>[1]!'ai[79].break.sgn'</f>
        <v>0</v>
      </c>
      <c r="AI83" s="208"/>
      <c r="AJ83" s="207">
        <f>[1]!'ai[79].ZL'</f>
        <v>0</v>
      </c>
      <c r="AK83" s="207">
        <f>[1]!'ai[79].ZH'</f>
        <v>0</v>
      </c>
      <c r="AL83" s="208"/>
      <c r="AM83" s="207">
        <f>[1]!'ai[79].RL.EN'</f>
        <v>0</v>
      </c>
      <c r="AN83" s="207">
        <f>[1]!'ai[79].RL.V'</f>
        <v>0</v>
      </c>
      <c r="AO83" s="207">
        <f>[1]!'ai[79].RL.fix'</f>
        <v>0</v>
      </c>
      <c r="AP83" s="208"/>
      <c r="AQ83" s="207">
        <f>[1]!'ai[79].RH.EN'</f>
        <v>0</v>
      </c>
      <c r="AR83" s="207">
        <f>[1]!'ai[79].RH.V'</f>
        <v>0</v>
      </c>
      <c r="AS83" s="207">
        <f>[1]!'ai[79].RH.fix'</f>
        <v>0</v>
      </c>
      <c r="AT83" s="208"/>
      <c r="AU83" s="207">
        <f>[1]!'ai[79].L.EN'</f>
        <v>0</v>
      </c>
      <c r="AV83" s="207">
        <f>[1]!'ai[79].L.V'</f>
        <v>0</v>
      </c>
      <c r="AW83" s="207">
        <f>[1]!'ai[79].L.fix'</f>
        <v>0</v>
      </c>
      <c r="AX83" s="208"/>
      <c r="AY83" s="207">
        <f>[1]!'ai[79].H.EN'</f>
        <v>0</v>
      </c>
      <c r="AZ83" s="207">
        <f>[1]!'ai[79].H.V'</f>
        <v>0</v>
      </c>
      <c r="BA83" s="207">
        <f>[1]!'ai[79].H.fix'</f>
        <v>0</v>
      </c>
      <c r="BB83" s="208"/>
      <c r="BC83" s="207">
        <f>[1]!'ai[79].LL.EN'</f>
        <v>0</v>
      </c>
      <c r="BD83" s="207">
        <f>[1]!'ai[79].LL.V'</f>
        <v>0</v>
      </c>
      <c r="BE83" s="207">
        <f>[1]!'ai[79].LL.fix'</f>
        <v>0</v>
      </c>
      <c r="BF83" s="208"/>
      <c r="BG83" s="207">
        <f>[1]!'ai[79].HH.EN'</f>
        <v>0</v>
      </c>
      <c r="BH83" s="207">
        <f>[1]!'ai[79].HH.V'</f>
        <v>0</v>
      </c>
      <c r="BI83" s="207">
        <f>[1]!'ai[79].HH.fix'</f>
        <v>0</v>
      </c>
      <c r="BJ83" s="209"/>
      <c r="BK83" s="207">
        <f>[1]!'ai[79].group'</f>
        <v>0</v>
      </c>
      <c r="BL83" s="207">
        <f>[1]!'ai[79].state'</f>
        <v>4</v>
      </c>
      <c r="BM83" s="207">
        <f>[1]!'ai[79].isInvScale'</f>
        <v>0</v>
      </c>
    </row>
    <row r="84" spans="1:65">
      <c r="A84" s="445" t="s">
        <v>36</v>
      </c>
      <c r="B84" s="446">
        <v>3</v>
      </c>
      <c r="C84" s="216">
        <v>0</v>
      </c>
      <c r="D84" s="216">
        <v>0</v>
      </c>
      <c r="E84" s="217" t="s">
        <v>364</v>
      </c>
      <c r="F84" s="217" t="s">
        <v>365</v>
      </c>
      <c r="G84" s="207">
        <f>[1]!'ai[80].ZL'</f>
        <v>0</v>
      </c>
      <c r="H84" s="207">
        <f>[1]!'ai[80].ZH'</f>
        <v>300</v>
      </c>
      <c r="I84" s="216" t="s">
        <v>366</v>
      </c>
      <c r="J84" s="207">
        <f>[1]!'ai[80].RL.V'</f>
        <v>130</v>
      </c>
      <c r="K84" s="207">
        <f>[1]!'ai[80].RH.V'</f>
        <v>280</v>
      </c>
      <c r="L84" s="207">
        <f>[1]!'ai[80].L.V'</f>
        <v>0</v>
      </c>
      <c r="M84" s="207">
        <f>[1]!'ai[80].H.V'</f>
        <v>0</v>
      </c>
      <c r="N84" s="207">
        <f>[1]!'ai[80].LL.V'</f>
        <v>0</v>
      </c>
      <c r="O84" s="207">
        <f>[1]!'ai[80].HH.V'</f>
        <v>0</v>
      </c>
      <c r="P84" s="218">
        <v>1</v>
      </c>
      <c r="Q84" s="219">
        <v>0</v>
      </c>
      <c r="R84" s="220"/>
      <c r="T84" s="207">
        <f>[1]!'ai[80].group'</f>
        <v>2</v>
      </c>
      <c r="X84" s="207">
        <f>[1]!'ai[80].EN'</f>
        <v>1</v>
      </c>
      <c r="Y84" s="207">
        <f>[1]!'ai[80].i'</f>
        <v>3.1404499999999999E-3</v>
      </c>
      <c r="Z84" s="207">
        <f>[1]!'ai[80].isForce'</f>
        <v>0</v>
      </c>
      <c r="AA84" s="207" t="e">
        <f>[1]!'ai[80].vRaw'</f>
        <v>#REF!</v>
      </c>
      <c r="AB84" s="207">
        <f>[1]!'ai[80].isCorrect'</f>
        <v>0</v>
      </c>
      <c r="AC84" s="207" t="e">
        <f>[1]!'ai[80].vCorrect'</f>
        <v>#REF!</v>
      </c>
      <c r="AD84" s="207">
        <f>[1]!'ai[80].v'</f>
        <v>0</v>
      </c>
      <c r="AE84" s="207" t="e">
        <f>[1]!'ai[80].isCut'</f>
        <v>#REF!</v>
      </c>
      <c r="AF84" s="207" t="e">
        <f>[1]!'ai[80].vCut'</f>
        <v>#REF!</v>
      </c>
      <c r="AG84" s="208"/>
      <c r="AH84" s="207">
        <f>[1]!'ai[80].break.sgn'</f>
        <v>1</v>
      </c>
      <c r="AI84" s="208"/>
      <c r="AJ84" s="207">
        <f>[1]!'ai[80].ZL'</f>
        <v>0</v>
      </c>
      <c r="AK84" s="207">
        <f>[1]!'ai[80].ZH'</f>
        <v>300</v>
      </c>
      <c r="AL84" s="208"/>
      <c r="AM84" s="207">
        <f>[1]!'ai[80].RL.EN'</f>
        <v>1</v>
      </c>
      <c r="AN84" s="207">
        <f>[1]!'ai[80].RL.V'</f>
        <v>130</v>
      </c>
      <c r="AO84" s="207">
        <f>[1]!'ai[80].RL.fix'</f>
        <v>0</v>
      </c>
      <c r="AP84" s="208"/>
      <c r="AQ84" s="207">
        <f>[1]!'ai[80].RH.EN'</f>
        <v>1</v>
      </c>
      <c r="AR84" s="207">
        <f>[1]!'ai[80].RH.V'</f>
        <v>280</v>
      </c>
      <c r="AS84" s="207">
        <f>[1]!'ai[80].RH.fix'</f>
        <v>0</v>
      </c>
      <c r="AT84" s="208"/>
      <c r="AU84" s="207">
        <f>[1]!'ai[80].L.EN'</f>
        <v>0</v>
      </c>
      <c r="AV84" s="207">
        <f>[1]!'ai[80].L.V'</f>
        <v>0</v>
      </c>
      <c r="AW84" s="207">
        <f>[1]!'ai[80].L.fix'</f>
        <v>0</v>
      </c>
      <c r="AX84" s="208"/>
      <c r="AY84" s="207">
        <f>[1]!'ai[80].H.EN'</f>
        <v>0</v>
      </c>
      <c r="AZ84" s="207">
        <f>[1]!'ai[80].H.V'</f>
        <v>0</v>
      </c>
      <c r="BA84" s="207">
        <f>[1]!'ai[80].H.fix'</f>
        <v>0</v>
      </c>
      <c r="BB84" s="208"/>
      <c r="BC84" s="207">
        <f>[1]!'ai[80].LL.EN'</f>
        <v>0</v>
      </c>
      <c r="BD84" s="207">
        <f>[1]!'ai[80].LL.V'</f>
        <v>0</v>
      </c>
      <c r="BE84" s="207">
        <f>[1]!'ai[80].LL.fix'</f>
        <v>0</v>
      </c>
      <c r="BF84" s="208"/>
      <c r="BG84" s="207">
        <f>[1]!'ai[80].HH.EN'</f>
        <v>0</v>
      </c>
      <c r="BH84" s="207">
        <f>[1]!'ai[80].HH.V'</f>
        <v>0</v>
      </c>
      <c r="BI84" s="207">
        <f>[1]!'ai[80].HH.fix'</f>
        <v>0</v>
      </c>
      <c r="BJ84" s="210"/>
      <c r="BK84" s="207">
        <f>[1]!'ai[80].group'</f>
        <v>2</v>
      </c>
      <c r="BL84" s="207">
        <f>[1]!'ai[80].state'</f>
        <v>4</v>
      </c>
      <c r="BM84" s="207">
        <f>[1]!'ai[80].isInvScale'</f>
        <v>0</v>
      </c>
    </row>
    <row r="85" spans="1:65">
      <c r="A85" s="445"/>
      <c r="B85" s="446"/>
      <c r="C85" s="221">
        <v>1</v>
      </c>
      <c r="D85" s="221">
        <v>1</v>
      </c>
      <c r="E85" s="222" t="s">
        <v>367</v>
      </c>
      <c r="F85" s="222" t="s">
        <v>368</v>
      </c>
      <c r="G85" s="207">
        <f>[1]!'ai[81].ZL'</f>
        <v>0</v>
      </c>
      <c r="H85" s="207">
        <f>[1]!'ai[81].ZH'</f>
        <v>300</v>
      </c>
      <c r="I85" s="221" t="s">
        <v>366</v>
      </c>
      <c r="J85" s="207">
        <f>[1]!'ai[81].RL.V'</f>
        <v>130</v>
      </c>
      <c r="K85" s="207">
        <f>[1]!'ai[81].RH.V'</f>
        <v>270</v>
      </c>
      <c r="L85" s="207">
        <f>[1]!'ai[81].L.V'</f>
        <v>0</v>
      </c>
      <c r="M85" s="207">
        <f>[1]!'ai[81].H.V'</f>
        <v>0</v>
      </c>
      <c r="N85" s="207">
        <f>[1]!'ai[81].LL.V'</f>
        <v>0</v>
      </c>
      <c r="O85" s="207">
        <f>[1]!'ai[81].HH.V'</f>
        <v>0</v>
      </c>
      <c r="P85" s="223">
        <v>1</v>
      </c>
      <c r="Q85" s="224">
        <v>0</v>
      </c>
      <c r="R85" s="184"/>
      <c r="T85" s="207">
        <f>[1]!'ai[81].group'</f>
        <v>2</v>
      </c>
      <c r="X85" s="207">
        <f>[1]!'ai[81].EN'</f>
        <v>1</v>
      </c>
      <c r="Y85" s="207">
        <f>[1]!'ai[81].i'</f>
        <v>3.1404499999999999E-3</v>
      </c>
      <c r="Z85" s="207">
        <f>[1]!'ai[81].isForce'</f>
        <v>0</v>
      </c>
      <c r="AA85" s="207" t="e">
        <f>[1]!'ai[81].vRaw'</f>
        <v>#REF!</v>
      </c>
      <c r="AB85" s="207">
        <f>[1]!'ai[81].isCorrect'</f>
        <v>0</v>
      </c>
      <c r="AC85" s="207" t="e">
        <f>[1]!'ai[81].vCorrect'</f>
        <v>#REF!</v>
      </c>
      <c r="AD85" s="207">
        <f>[1]!'ai[81].v'</f>
        <v>0</v>
      </c>
      <c r="AE85" s="207" t="e">
        <f>[1]!'ai[81].isCut'</f>
        <v>#REF!</v>
      </c>
      <c r="AF85" s="207" t="e">
        <f>[1]!'ai[81].vCut'</f>
        <v>#REF!</v>
      </c>
      <c r="AG85" s="208"/>
      <c r="AH85" s="207">
        <f>[1]!'ai[81].break.sgn'</f>
        <v>1</v>
      </c>
      <c r="AI85" s="208"/>
      <c r="AJ85" s="207">
        <f>[1]!'ai[81].ZL'</f>
        <v>0</v>
      </c>
      <c r="AK85" s="207">
        <f>[1]!'ai[81].ZH'</f>
        <v>300</v>
      </c>
      <c r="AL85" s="208"/>
      <c r="AM85" s="207">
        <f>[1]!'ai[81].RL.EN'</f>
        <v>1</v>
      </c>
      <c r="AN85" s="207">
        <f>[1]!'ai[81].RL.V'</f>
        <v>130</v>
      </c>
      <c r="AO85" s="207">
        <f>[1]!'ai[81].RL.fix'</f>
        <v>0</v>
      </c>
      <c r="AP85" s="208"/>
      <c r="AQ85" s="207">
        <f>[1]!'ai[81].RH.EN'</f>
        <v>1</v>
      </c>
      <c r="AR85" s="207">
        <f>[1]!'ai[81].RH.V'</f>
        <v>270</v>
      </c>
      <c r="AS85" s="207">
        <f>[1]!'ai[81].RH.fix'</f>
        <v>0</v>
      </c>
      <c r="AT85" s="208"/>
      <c r="AU85" s="207">
        <f>[1]!'ai[81].L.EN'</f>
        <v>0</v>
      </c>
      <c r="AV85" s="207">
        <f>[1]!'ai[81].L.V'</f>
        <v>0</v>
      </c>
      <c r="AW85" s="207">
        <f>[1]!'ai[81].L.fix'</f>
        <v>0</v>
      </c>
      <c r="AX85" s="208"/>
      <c r="AY85" s="207">
        <f>[1]!'ai[81].H.EN'</f>
        <v>0</v>
      </c>
      <c r="AZ85" s="207">
        <f>[1]!'ai[81].H.V'</f>
        <v>0</v>
      </c>
      <c r="BA85" s="207">
        <f>[1]!'ai[81].H.fix'</f>
        <v>0</v>
      </c>
      <c r="BB85" s="208"/>
      <c r="BC85" s="207">
        <f>[1]!'ai[81].LL.EN'</f>
        <v>0</v>
      </c>
      <c r="BD85" s="207">
        <f>[1]!'ai[81].LL.V'</f>
        <v>0</v>
      </c>
      <c r="BE85" s="207">
        <f>[1]!'ai[81].LL.fix'</f>
        <v>0</v>
      </c>
      <c r="BF85" s="208"/>
      <c r="BG85" s="207">
        <f>[1]!'ai[81].HH.EN'</f>
        <v>0</v>
      </c>
      <c r="BH85" s="207">
        <f>[1]!'ai[81].HH.V'</f>
        <v>0</v>
      </c>
      <c r="BI85" s="207">
        <f>[1]!'ai[81].HH.fix'</f>
        <v>0</v>
      </c>
      <c r="BJ85" s="210"/>
      <c r="BK85" s="207">
        <f>[1]!'ai[81].group'</f>
        <v>2</v>
      </c>
      <c r="BL85" s="207">
        <f>[1]!'ai[81].state'</f>
        <v>4</v>
      </c>
      <c r="BM85" s="207">
        <f>[1]!'ai[81].isInvScale'</f>
        <v>0</v>
      </c>
    </row>
    <row r="86" spans="1:65">
      <c r="A86" s="445"/>
      <c r="B86" s="446"/>
      <c r="C86" s="221">
        <v>2</v>
      </c>
      <c r="D86" s="221">
        <v>2</v>
      </c>
      <c r="E86" s="222" t="s">
        <v>369</v>
      </c>
      <c r="F86" s="222" t="s">
        <v>370</v>
      </c>
      <c r="G86" s="207">
        <f>[1]!'ai[82].ZL'</f>
        <v>0</v>
      </c>
      <c r="H86" s="207">
        <f>[1]!'ai[82].ZH'</f>
        <v>300</v>
      </c>
      <c r="I86" s="221" t="s">
        <v>366</v>
      </c>
      <c r="J86" s="207">
        <f>[1]!'ai[82].RL.V'</f>
        <v>130</v>
      </c>
      <c r="K86" s="207">
        <f>[1]!'ai[82].RH.V'</f>
        <v>270</v>
      </c>
      <c r="L86" s="207">
        <f>[1]!'ai[82].L.V'</f>
        <v>0</v>
      </c>
      <c r="M86" s="207">
        <f>[1]!'ai[82].H.V'</f>
        <v>0</v>
      </c>
      <c r="N86" s="207">
        <f>[1]!'ai[82].LL.V'</f>
        <v>0</v>
      </c>
      <c r="O86" s="207">
        <f>[1]!'ai[82].HH.V'</f>
        <v>0</v>
      </c>
      <c r="P86" s="223">
        <v>1</v>
      </c>
      <c r="Q86" s="224">
        <v>0</v>
      </c>
      <c r="R86" s="184"/>
      <c r="T86" s="207">
        <f>[1]!'ai[82].group'</f>
        <v>2</v>
      </c>
      <c r="X86" s="207">
        <f>[1]!'ai[82].EN'</f>
        <v>1</v>
      </c>
      <c r="Y86" s="207">
        <f>[1]!'ai[82].i'</f>
        <v>3.4551619999999999E-3</v>
      </c>
      <c r="Z86" s="207">
        <f>[1]!'ai[82].isForce'</f>
        <v>0</v>
      </c>
      <c r="AA86" s="207" t="e">
        <f>[1]!'ai[82].vRaw'</f>
        <v>#REF!</v>
      </c>
      <c r="AB86" s="207">
        <f>[1]!'ai[82].isCorrect'</f>
        <v>0</v>
      </c>
      <c r="AC86" s="207" t="e">
        <f>[1]!'ai[82].vCorrect'</f>
        <v>#REF!</v>
      </c>
      <c r="AD86" s="207">
        <f>[1]!'ai[82].v'</f>
        <v>0</v>
      </c>
      <c r="AE86" s="207" t="e">
        <f>[1]!'ai[82].isCut'</f>
        <v>#REF!</v>
      </c>
      <c r="AF86" s="207" t="e">
        <f>[1]!'ai[82].vCut'</f>
        <v>#REF!</v>
      </c>
      <c r="AG86" s="208"/>
      <c r="AH86" s="207">
        <f>[1]!'ai[82].break.sgn'</f>
        <v>1</v>
      </c>
      <c r="AI86" s="208"/>
      <c r="AJ86" s="207">
        <f>[1]!'ai[82].ZL'</f>
        <v>0</v>
      </c>
      <c r="AK86" s="207">
        <f>[1]!'ai[82].ZH'</f>
        <v>300</v>
      </c>
      <c r="AL86" s="208"/>
      <c r="AM86" s="207">
        <f>[1]!'ai[82].RL.EN'</f>
        <v>1</v>
      </c>
      <c r="AN86" s="207">
        <f>[1]!'ai[82].RL.V'</f>
        <v>130</v>
      </c>
      <c r="AO86" s="207">
        <f>[1]!'ai[82].RL.fix'</f>
        <v>0</v>
      </c>
      <c r="AP86" s="208"/>
      <c r="AQ86" s="207">
        <f>[1]!'ai[82].RH.EN'</f>
        <v>1</v>
      </c>
      <c r="AR86" s="207">
        <f>[1]!'ai[82].RH.V'</f>
        <v>270</v>
      </c>
      <c r="AS86" s="207">
        <f>[1]!'ai[82].RH.fix'</f>
        <v>0</v>
      </c>
      <c r="AT86" s="208"/>
      <c r="AU86" s="207">
        <f>[1]!'ai[82].L.EN'</f>
        <v>0</v>
      </c>
      <c r="AV86" s="207">
        <f>[1]!'ai[82].L.V'</f>
        <v>0</v>
      </c>
      <c r="AW86" s="207">
        <f>[1]!'ai[82].L.fix'</f>
        <v>0</v>
      </c>
      <c r="AX86" s="208"/>
      <c r="AY86" s="207">
        <f>[1]!'ai[82].H.EN'</f>
        <v>0</v>
      </c>
      <c r="AZ86" s="207">
        <f>[1]!'ai[82].H.V'</f>
        <v>0</v>
      </c>
      <c r="BA86" s="207">
        <f>[1]!'ai[82].H.fix'</f>
        <v>0</v>
      </c>
      <c r="BB86" s="208"/>
      <c r="BC86" s="207">
        <f>[1]!'ai[82].LL.EN'</f>
        <v>0</v>
      </c>
      <c r="BD86" s="207">
        <f>[1]!'ai[82].LL.V'</f>
        <v>0</v>
      </c>
      <c r="BE86" s="207">
        <f>[1]!'ai[82].LL.fix'</f>
        <v>0</v>
      </c>
      <c r="BF86" s="208"/>
      <c r="BG86" s="207">
        <f>[1]!'ai[82].HH.EN'</f>
        <v>0</v>
      </c>
      <c r="BH86" s="207">
        <f>[1]!'ai[82].HH.V'</f>
        <v>0</v>
      </c>
      <c r="BI86" s="207">
        <f>[1]!'ai[82].HH.fix'</f>
        <v>0</v>
      </c>
      <c r="BJ86" s="210"/>
      <c r="BK86" s="207">
        <f>[1]!'ai[82].group'</f>
        <v>2</v>
      </c>
      <c r="BL86" s="207">
        <f>[1]!'ai[82].state'</f>
        <v>4</v>
      </c>
      <c r="BM86" s="207">
        <f>[1]!'ai[82].isInvScale'</f>
        <v>0</v>
      </c>
    </row>
    <row r="87" spans="1:65">
      <c r="A87" s="445"/>
      <c r="B87" s="446"/>
      <c r="C87" s="221">
        <v>3</v>
      </c>
      <c r="D87" s="221">
        <v>3</v>
      </c>
      <c r="E87" s="222" t="s">
        <v>371</v>
      </c>
      <c r="F87" s="222" t="s">
        <v>372</v>
      </c>
      <c r="G87" s="207">
        <f>[1]!'ai[83].ZL'</f>
        <v>0</v>
      </c>
      <c r="H87" s="207">
        <f>[1]!'ai[83].ZH'</f>
        <v>300</v>
      </c>
      <c r="I87" s="221" t="s">
        <v>366</v>
      </c>
      <c r="J87" s="207">
        <f>[1]!'ai[83].RL.V'</f>
        <v>40</v>
      </c>
      <c r="K87" s="207">
        <f>[1]!'ai[83].RH.V'</f>
        <v>160</v>
      </c>
      <c r="L87" s="207">
        <f>[1]!'ai[83].L.V'</f>
        <v>0</v>
      </c>
      <c r="M87" s="207">
        <f>[1]!'ai[83].H.V'</f>
        <v>0</v>
      </c>
      <c r="N87" s="207">
        <f>[1]!'ai[83].LL.V'</f>
        <v>0</v>
      </c>
      <c r="O87" s="207">
        <f>[1]!'ai[83].HH.V'</f>
        <v>0</v>
      </c>
      <c r="P87" s="223">
        <v>1</v>
      </c>
      <c r="Q87" s="224">
        <v>0</v>
      </c>
      <c r="R87" s="184"/>
      <c r="T87" s="207">
        <f>[1]!'ai[83].group'</f>
        <v>2</v>
      </c>
      <c r="X87" s="207">
        <f>[1]!'ai[83].EN'</f>
        <v>1</v>
      </c>
      <c r="Y87" s="207">
        <f>[1]!'ai[83].i'</f>
        <v>3.4551619999999999E-3</v>
      </c>
      <c r="Z87" s="207">
        <f>[1]!'ai[83].isForce'</f>
        <v>0</v>
      </c>
      <c r="AA87" s="207" t="e">
        <f>[1]!'ai[83].vRaw'</f>
        <v>#REF!</v>
      </c>
      <c r="AB87" s="207">
        <f>[1]!'ai[83].isCorrect'</f>
        <v>0</v>
      </c>
      <c r="AC87" s="207" t="e">
        <f>[1]!'ai[83].vCorrect'</f>
        <v>#REF!</v>
      </c>
      <c r="AD87" s="207">
        <f>[1]!'ai[83].v'</f>
        <v>0</v>
      </c>
      <c r="AE87" s="207" t="e">
        <f>[1]!'ai[83].isCut'</f>
        <v>#REF!</v>
      </c>
      <c r="AF87" s="207" t="e">
        <f>[1]!'ai[83].vCut'</f>
        <v>#REF!</v>
      </c>
      <c r="AG87" s="208"/>
      <c r="AH87" s="207">
        <f>[1]!'ai[83].break.sgn'</f>
        <v>1</v>
      </c>
      <c r="AI87" s="208"/>
      <c r="AJ87" s="207">
        <f>[1]!'ai[83].ZL'</f>
        <v>0</v>
      </c>
      <c r="AK87" s="207">
        <f>[1]!'ai[83].ZH'</f>
        <v>300</v>
      </c>
      <c r="AL87" s="208"/>
      <c r="AM87" s="207">
        <f>[1]!'ai[83].RL.EN'</f>
        <v>1</v>
      </c>
      <c r="AN87" s="207">
        <f>[1]!'ai[83].RL.V'</f>
        <v>40</v>
      </c>
      <c r="AO87" s="207">
        <f>[1]!'ai[83].RL.fix'</f>
        <v>0</v>
      </c>
      <c r="AP87" s="208"/>
      <c r="AQ87" s="207">
        <f>[1]!'ai[83].RH.EN'</f>
        <v>1</v>
      </c>
      <c r="AR87" s="207">
        <f>[1]!'ai[83].RH.V'</f>
        <v>160</v>
      </c>
      <c r="AS87" s="207">
        <f>[1]!'ai[83].RH.fix'</f>
        <v>0</v>
      </c>
      <c r="AT87" s="208"/>
      <c r="AU87" s="207">
        <f>[1]!'ai[83].L.EN'</f>
        <v>0</v>
      </c>
      <c r="AV87" s="207">
        <f>[1]!'ai[83].L.V'</f>
        <v>0</v>
      </c>
      <c r="AW87" s="207">
        <f>[1]!'ai[83].L.fix'</f>
        <v>0</v>
      </c>
      <c r="AX87" s="208"/>
      <c r="AY87" s="207">
        <f>[1]!'ai[83].H.EN'</f>
        <v>0</v>
      </c>
      <c r="AZ87" s="207">
        <f>[1]!'ai[83].H.V'</f>
        <v>0</v>
      </c>
      <c r="BA87" s="207">
        <f>[1]!'ai[83].H.fix'</f>
        <v>0</v>
      </c>
      <c r="BB87" s="208"/>
      <c r="BC87" s="207">
        <f>[1]!'ai[83].LL.EN'</f>
        <v>0</v>
      </c>
      <c r="BD87" s="207">
        <f>[1]!'ai[83].LL.V'</f>
        <v>0</v>
      </c>
      <c r="BE87" s="207">
        <f>[1]!'ai[83].LL.fix'</f>
        <v>0</v>
      </c>
      <c r="BF87" s="208"/>
      <c r="BG87" s="207">
        <f>[1]!'ai[83].HH.EN'</f>
        <v>0</v>
      </c>
      <c r="BH87" s="207">
        <f>[1]!'ai[83].HH.V'</f>
        <v>0</v>
      </c>
      <c r="BI87" s="207">
        <f>[1]!'ai[83].HH.fix'</f>
        <v>0</v>
      </c>
      <c r="BJ87" s="210"/>
      <c r="BK87" s="207">
        <f>[1]!'ai[83].group'</f>
        <v>2</v>
      </c>
      <c r="BL87" s="207">
        <f>[1]!'ai[83].state'</f>
        <v>4</v>
      </c>
      <c r="BM87" s="207">
        <f>[1]!'ai[83].isInvScale'</f>
        <v>0</v>
      </c>
    </row>
    <row r="88" spans="1:65">
      <c r="A88" s="445"/>
      <c r="B88" s="446"/>
      <c r="C88" s="221">
        <v>4</v>
      </c>
      <c r="D88" s="221">
        <v>4</v>
      </c>
      <c r="E88" s="222" t="s">
        <v>373</v>
      </c>
      <c r="F88" s="222" t="s">
        <v>374</v>
      </c>
      <c r="G88" s="207">
        <f>[1]!'ai[84].ZL'</f>
        <v>0</v>
      </c>
      <c r="H88" s="207">
        <f>[1]!'ai[84].ZH'</f>
        <v>300</v>
      </c>
      <c r="I88" s="221" t="s">
        <v>366</v>
      </c>
      <c r="J88" s="207">
        <f>[1]!'ai[84].RL.V'</f>
        <v>40</v>
      </c>
      <c r="K88" s="207">
        <f>[1]!'ai[84].RH.V'</f>
        <v>160</v>
      </c>
      <c r="L88" s="207">
        <f>[1]!'ai[84].L.V'</f>
        <v>0</v>
      </c>
      <c r="M88" s="207">
        <f>[1]!'ai[84].H.V'</f>
        <v>0</v>
      </c>
      <c r="N88" s="207">
        <f>[1]!'ai[84].LL.V'</f>
        <v>0</v>
      </c>
      <c r="O88" s="207">
        <f>[1]!'ai[84].HH.V'</f>
        <v>0</v>
      </c>
      <c r="P88" s="223">
        <v>1</v>
      </c>
      <c r="Q88" s="224">
        <v>0</v>
      </c>
      <c r="R88" s="184"/>
      <c r="T88" s="207">
        <f>[1]!'ai[84].group'</f>
        <v>2</v>
      </c>
      <c r="X88" s="207">
        <f>[1]!'ai[84].EN'</f>
        <v>1</v>
      </c>
      <c r="Y88" s="207">
        <f>[1]!'ai[84].i'</f>
        <v>1.2559890000000001E-3</v>
      </c>
      <c r="Z88" s="207">
        <f>[1]!'ai[84].isForce'</f>
        <v>0</v>
      </c>
      <c r="AA88" s="207" t="e">
        <f>[1]!'ai[84].vRaw'</f>
        <v>#REF!</v>
      </c>
      <c r="AB88" s="207">
        <f>[1]!'ai[84].isCorrect'</f>
        <v>0</v>
      </c>
      <c r="AC88" s="207" t="e">
        <f>[1]!'ai[84].vCorrect'</f>
        <v>#REF!</v>
      </c>
      <c r="AD88" s="207">
        <f>[1]!'ai[84].v'</f>
        <v>0</v>
      </c>
      <c r="AE88" s="207" t="e">
        <f>[1]!'ai[84].isCut'</f>
        <v>#REF!</v>
      </c>
      <c r="AF88" s="207" t="e">
        <f>[1]!'ai[84].vCut'</f>
        <v>#REF!</v>
      </c>
      <c r="AG88" s="208"/>
      <c r="AH88" s="207">
        <f>[1]!'ai[84].break.sgn'</f>
        <v>1</v>
      </c>
      <c r="AI88" s="208"/>
      <c r="AJ88" s="207">
        <f>[1]!'ai[84].ZL'</f>
        <v>0</v>
      </c>
      <c r="AK88" s="207">
        <f>[1]!'ai[84].ZH'</f>
        <v>300</v>
      </c>
      <c r="AL88" s="208"/>
      <c r="AM88" s="207">
        <f>[1]!'ai[84].RL.EN'</f>
        <v>1</v>
      </c>
      <c r="AN88" s="207">
        <f>[1]!'ai[84].RL.V'</f>
        <v>40</v>
      </c>
      <c r="AO88" s="207">
        <f>[1]!'ai[84].RL.fix'</f>
        <v>0</v>
      </c>
      <c r="AP88" s="208"/>
      <c r="AQ88" s="207">
        <f>[1]!'ai[84].RH.EN'</f>
        <v>1</v>
      </c>
      <c r="AR88" s="207">
        <f>[1]!'ai[84].RH.V'</f>
        <v>160</v>
      </c>
      <c r="AS88" s="207">
        <f>[1]!'ai[84].RH.fix'</f>
        <v>0</v>
      </c>
      <c r="AT88" s="208"/>
      <c r="AU88" s="207">
        <f>[1]!'ai[84].L.EN'</f>
        <v>0</v>
      </c>
      <c r="AV88" s="207">
        <f>[1]!'ai[84].L.V'</f>
        <v>0</v>
      </c>
      <c r="AW88" s="207">
        <f>[1]!'ai[84].L.fix'</f>
        <v>0</v>
      </c>
      <c r="AX88" s="208"/>
      <c r="AY88" s="207">
        <f>[1]!'ai[84].H.EN'</f>
        <v>0</v>
      </c>
      <c r="AZ88" s="207">
        <f>[1]!'ai[84].H.V'</f>
        <v>0</v>
      </c>
      <c r="BA88" s="207">
        <f>[1]!'ai[84].H.fix'</f>
        <v>0</v>
      </c>
      <c r="BB88" s="208"/>
      <c r="BC88" s="207">
        <f>[1]!'ai[84].LL.EN'</f>
        <v>0</v>
      </c>
      <c r="BD88" s="207">
        <f>[1]!'ai[84].LL.V'</f>
        <v>0</v>
      </c>
      <c r="BE88" s="207">
        <f>[1]!'ai[84].LL.fix'</f>
        <v>0</v>
      </c>
      <c r="BF88" s="208"/>
      <c r="BG88" s="207">
        <f>[1]!'ai[84].HH.EN'</f>
        <v>0</v>
      </c>
      <c r="BH88" s="207">
        <f>[1]!'ai[84].HH.V'</f>
        <v>0</v>
      </c>
      <c r="BI88" s="207">
        <f>[1]!'ai[84].HH.fix'</f>
        <v>0</v>
      </c>
      <c r="BJ88" s="210"/>
      <c r="BK88" s="207">
        <f>[1]!'ai[84].group'</f>
        <v>2</v>
      </c>
      <c r="BL88" s="207">
        <f>[1]!'ai[84].state'</f>
        <v>4</v>
      </c>
      <c r="BM88" s="207">
        <f>[1]!'ai[84].isInvScale'</f>
        <v>0</v>
      </c>
    </row>
    <row r="89" spans="1:65">
      <c r="A89" s="445"/>
      <c r="B89" s="446"/>
      <c r="C89" s="221">
        <v>5</v>
      </c>
      <c r="D89" s="221">
        <v>5</v>
      </c>
      <c r="E89" s="222" t="s">
        <v>375</v>
      </c>
      <c r="F89" s="222" t="s">
        <v>376</v>
      </c>
      <c r="G89" s="207">
        <f>[1]!'ai[85].ZL'</f>
        <v>0</v>
      </c>
      <c r="H89" s="207">
        <f>[1]!'ai[85].ZH'</f>
        <v>300</v>
      </c>
      <c r="I89" s="221" t="s">
        <v>366</v>
      </c>
      <c r="J89" s="207">
        <f>[1]!'ai[85].RL.V'</f>
        <v>40</v>
      </c>
      <c r="K89" s="207">
        <f>[1]!'ai[85].RH.V'</f>
        <v>160</v>
      </c>
      <c r="L89" s="207">
        <f>[1]!'ai[85].L.V'</f>
        <v>0</v>
      </c>
      <c r="M89" s="207">
        <f>[1]!'ai[85].H.V'</f>
        <v>0</v>
      </c>
      <c r="N89" s="207">
        <f>[1]!'ai[85].LL.V'</f>
        <v>0</v>
      </c>
      <c r="O89" s="207">
        <f>[1]!'ai[85].HH.V'</f>
        <v>0</v>
      </c>
      <c r="P89" s="223">
        <v>1</v>
      </c>
      <c r="Q89" s="224">
        <v>0</v>
      </c>
      <c r="R89" s="184"/>
      <c r="T89" s="207">
        <f>[1]!'ai[85].group'</f>
        <v>2</v>
      </c>
      <c r="X89" s="207">
        <f>[1]!'ai[85].EN'</f>
        <v>1</v>
      </c>
      <c r="Y89" s="207">
        <f>[1]!'ai[85].i'</f>
        <v>1.2559890000000001E-3</v>
      </c>
      <c r="Z89" s="207">
        <f>[1]!'ai[85].isForce'</f>
        <v>0</v>
      </c>
      <c r="AA89" s="207" t="e">
        <f>[1]!'ai[85].vRaw'</f>
        <v>#REF!</v>
      </c>
      <c r="AB89" s="207">
        <f>[1]!'ai[85].isCorrect'</f>
        <v>0</v>
      </c>
      <c r="AC89" s="207" t="e">
        <f>[1]!'ai[85].vCorrect'</f>
        <v>#REF!</v>
      </c>
      <c r="AD89" s="207">
        <f>[1]!'ai[85].v'</f>
        <v>0</v>
      </c>
      <c r="AE89" s="207" t="e">
        <f>[1]!'ai[85].isCut'</f>
        <v>#REF!</v>
      </c>
      <c r="AF89" s="207" t="e">
        <f>[1]!'ai[85].vCut'</f>
        <v>#REF!</v>
      </c>
      <c r="AG89" s="208"/>
      <c r="AH89" s="207">
        <f>[1]!'ai[85].break.sgn'</f>
        <v>1</v>
      </c>
      <c r="AI89" s="208"/>
      <c r="AJ89" s="207">
        <f>[1]!'ai[85].ZL'</f>
        <v>0</v>
      </c>
      <c r="AK89" s="207">
        <f>[1]!'ai[85].ZH'</f>
        <v>300</v>
      </c>
      <c r="AL89" s="208"/>
      <c r="AM89" s="207">
        <f>[1]!'ai[85].RL.EN'</f>
        <v>1</v>
      </c>
      <c r="AN89" s="207">
        <f>[1]!'ai[85].RL.V'</f>
        <v>40</v>
      </c>
      <c r="AO89" s="207">
        <f>[1]!'ai[85].RL.fix'</f>
        <v>0</v>
      </c>
      <c r="AP89" s="208"/>
      <c r="AQ89" s="207">
        <f>[1]!'ai[85].RH.EN'</f>
        <v>1</v>
      </c>
      <c r="AR89" s="207">
        <f>[1]!'ai[85].RH.V'</f>
        <v>160</v>
      </c>
      <c r="AS89" s="207">
        <f>[1]!'ai[85].RH.fix'</f>
        <v>0</v>
      </c>
      <c r="AT89" s="208"/>
      <c r="AU89" s="207">
        <f>[1]!'ai[85].L.EN'</f>
        <v>0</v>
      </c>
      <c r="AV89" s="207">
        <f>[1]!'ai[85].L.V'</f>
        <v>0</v>
      </c>
      <c r="AW89" s="207">
        <f>[1]!'ai[85].L.fix'</f>
        <v>0</v>
      </c>
      <c r="AX89" s="208"/>
      <c r="AY89" s="207">
        <f>[1]!'ai[85].H.EN'</f>
        <v>0</v>
      </c>
      <c r="AZ89" s="207">
        <f>[1]!'ai[85].H.V'</f>
        <v>0</v>
      </c>
      <c r="BA89" s="207">
        <f>[1]!'ai[85].H.fix'</f>
        <v>0</v>
      </c>
      <c r="BB89" s="208"/>
      <c r="BC89" s="207">
        <f>[1]!'ai[85].LL.EN'</f>
        <v>0</v>
      </c>
      <c r="BD89" s="207">
        <f>[1]!'ai[85].LL.V'</f>
        <v>0</v>
      </c>
      <c r="BE89" s="207">
        <f>[1]!'ai[85].LL.fix'</f>
        <v>0</v>
      </c>
      <c r="BF89" s="208"/>
      <c r="BG89" s="207">
        <f>[1]!'ai[85].HH.EN'</f>
        <v>0</v>
      </c>
      <c r="BH89" s="207">
        <f>[1]!'ai[85].HH.V'</f>
        <v>0</v>
      </c>
      <c r="BI89" s="207">
        <f>[1]!'ai[85].HH.fix'</f>
        <v>0</v>
      </c>
      <c r="BJ89" s="210"/>
      <c r="BK89" s="207">
        <f>[1]!'ai[85].group'</f>
        <v>2</v>
      </c>
      <c r="BL89" s="207">
        <f>[1]!'ai[85].state'</f>
        <v>4</v>
      </c>
      <c r="BM89" s="207">
        <f>[1]!'ai[85].isInvScale'</f>
        <v>0</v>
      </c>
    </row>
    <row r="90" spans="1:65">
      <c r="A90" s="445"/>
      <c r="B90" s="446"/>
      <c r="C90" s="221">
        <v>6</v>
      </c>
      <c r="D90" s="221">
        <v>6</v>
      </c>
      <c r="E90" s="222" t="s">
        <v>377</v>
      </c>
      <c r="F90" s="222" t="s">
        <v>378</v>
      </c>
      <c r="G90" s="207">
        <f>[1]!'ai[86].ZL'</f>
        <v>0</v>
      </c>
      <c r="H90" s="207">
        <f>[1]!'ai[86].ZH'</f>
        <v>300</v>
      </c>
      <c r="I90" s="221" t="s">
        <v>366</v>
      </c>
      <c r="J90" s="207">
        <f>[1]!'ai[86].RL.V'</f>
        <v>130</v>
      </c>
      <c r="K90" s="207">
        <f>[1]!'ai[86].RH.V'</f>
        <v>250</v>
      </c>
      <c r="L90" s="207">
        <f>[1]!'ai[86].L.V'</f>
        <v>0</v>
      </c>
      <c r="M90" s="207">
        <f>[1]!'ai[86].H.V'</f>
        <v>0</v>
      </c>
      <c r="N90" s="207">
        <f>[1]!'ai[86].LL.V'</f>
        <v>0</v>
      </c>
      <c r="O90" s="207">
        <f>[1]!'ai[86].HH.V'</f>
        <v>0</v>
      </c>
      <c r="P90" s="223">
        <v>1</v>
      </c>
      <c r="Q90" s="224">
        <v>0</v>
      </c>
      <c r="R90" s="184"/>
      <c r="T90" s="207">
        <f>[1]!'ai[86].group'</f>
        <v>2</v>
      </c>
      <c r="X90" s="207">
        <f>[1]!'ai[86].EN'</f>
        <v>1</v>
      </c>
      <c r="Y90" s="207">
        <f>[1]!'ai[86].i'</f>
        <v>1.570702E-3</v>
      </c>
      <c r="Z90" s="207">
        <f>[1]!'ai[86].isForce'</f>
        <v>0</v>
      </c>
      <c r="AA90" s="207" t="e">
        <f>[1]!'ai[86].vRaw'</f>
        <v>#REF!</v>
      </c>
      <c r="AB90" s="207">
        <f>[1]!'ai[86].isCorrect'</f>
        <v>0</v>
      </c>
      <c r="AC90" s="207" t="e">
        <f>[1]!'ai[86].vCorrect'</f>
        <v>#REF!</v>
      </c>
      <c r="AD90" s="207">
        <f>[1]!'ai[86].v'</f>
        <v>0</v>
      </c>
      <c r="AE90" s="207" t="e">
        <f>[1]!'ai[86].isCut'</f>
        <v>#REF!</v>
      </c>
      <c r="AF90" s="207" t="e">
        <f>[1]!'ai[86].vCut'</f>
        <v>#REF!</v>
      </c>
      <c r="AG90" s="208"/>
      <c r="AH90" s="207">
        <f>[1]!'ai[86].break.sgn'</f>
        <v>1</v>
      </c>
      <c r="AI90" s="208"/>
      <c r="AJ90" s="207">
        <f>[1]!'ai[86].ZL'</f>
        <v>0</v>
      </c>
      <c r="AK90" s="207">
        <f>[1]!'ai[86].ZH'</f>
        <v>300</v>
      </c>
      <c r="AL90" s="208"/>
      <c r="AM90" s="207">
        <f>[1]!'ai[86].RL.EN'</f>
        <v>1</v>
      </c>
      <c r="AN90" s="207">
        <f>[1]!'ai[86].RL.V'</f>
        <v>130</v>
      </c>
      <c r="AO90" s="207">
        <f>[1]!'ai[86].RL.fix'</f>
        <v>0</v>
      </c>
      <c r="AP90" s="208"/>
      <c r="AQ90" s="207">
        <f>[1]!'ai[86].RH.EN'</f>
        <v>1</v>
      </c>
      <c r="AR90" s="207">
        <f>[1]!'ai[86].RH.V'</f>
        <v>250</v>
      </c>
      <c r="AS90" s="207">
        <f>[1]!'ai[86].RH.fix'</f>
        <v>0</v>
      </c>
      <c r="AT90" s="208"/>
      <c r="AU90" s="207">
        <f>[1]!'ai[86].L.EN'</f>
        <v>0</v>
      </c>
      <c r="AV90" s="207">
        <f>[1]!'ai[86].L.V'</f>
        <v>0</v>
      </c>
      <c r="AW90" s="207">
        <f>[1]!'ai[86].L.fix'</f>
        <v>0</v>
      </c>
      <c r="AX90" s="208"/>
      <c r="AY90" s="207">
        <f>[1]!'ai[86].H.EN'</f>
        <v>0</v>
      </c>
      <c r="AZ90" s="207">
        <f>[1]!'ai[86].H.V'</f>
        <v>0</v>
      </c>
      <c r="BA90" s="207">
        <f>[1]!'ai[86].H.fix'</f>
        <v>0</v>
      </c>
      <c r="BB90" s="208"/>
      <c r="BC90" s="207">
        <f>[1]!'ai[86].LL.EN'</f>
        <v>0</v>
      </c>
      <c r="BD90" s="207">
        <f>[1]!'ai[86].LL.V'</f>
        <v>0</v>
      </c>
      <c r="BE90" s="207">
        <f>[1]!'ai[86].LL.fix'</f>
        <v>0</v>
      </c>
      <c r="BF90" s="208"/>
      <c r="BG90" s="207">
        <f>[1]!'ai[86].HH.EN'</f>
        <v>0</v>
      </c>
      <c r="BH90" s="207">
        <f>[1]!'ai[86].HH.V'</f>
        <v>0</v>
      </c>
      <c r="BI90" s="207">
        <f>[1]!'ai[86].HH.fix'</f>
        <v>0</v>
      </c>
      <c r="BJ90" s="209"/>
      <c r="BK90" s="207">
        <f>[1]!'ai[86].group'</f>
        <v>2</v>
      </c>
      <c r="BL90" s="207">
        <f>[1]!'ai[86].state'</f>
        <v>4</v>
      </c>
      <c r="BM90" s="207">
        <f>[1]!'ai[86].isInvScale'</f>
        <v>0</v>
      </c>
    </row>
    <row r="91" spans="1:65">
      <c r="A91" s="445"/>
      <c r="B91" s="446"/>
      <c r="C91" s="221">
        <v>7</v>
      </c>
      <c r="D91" s="221">
        <v>7</v>
      </c>
      <c r="E91" s="222" t="s">
        <v>379</v>
      </c>
      <c r="F91" s="222" t="s">
        <v>380</v>
      </c>
      <c r="G91" s="207">
        <f>[1]!'ai[87].ZL'</f>
        <v>0</v>
      </c>
      <c r="H91" s="207">
        <f>[1]!'ai[87].ZH'</f>
        <v>100</v>
      </c>
      <c r="I91" s="221" t="s">
        <v>366</v>
      </c>
      <c r="J91" s="207">
        <f>[1]!'ai[87].RL.V'</f>
        <v>0</v>
      </c>
      <c r="K91" s="207">
        <f>[1]!'ai[87].RH.V'</f>
        <v>85</v>
      </c>
      <c r="L91" s="207">
        <f>[1]!'ai[87].L.V'</f>
        <v>0</v>
      </c>
      <c r="M91" s="207">
        <f>[1]!'ai[87].H.V'</f>
        <v>0</v>
      </c>
      <c r="N91" s="207">
        <f>[1]!'ai[87].LL.V'</f>
        <v>0</v>
      </c>
      <c r="O91" s="207">
        <f>[1]!'ai[87].HH.V'</f>
        <v>0</v>
      </c>
      <c r="P91" s="223">
        <v>1</v>
      </c>
      <c r="Q91" s="224">
        <v>0</v>
      </c>
      <c r="R91" s="184"/>
      <c r="T91" s="207">
        <f>[1]!'ai[87].group'</f>
        <v>2</v>
      </c>
      <c r="X91" s="207">
        <f>[1]!'ai[87].EN'</f>
        <v>1</v>
      </c>
      <c r="Y91" s="207">
        <f>[1]!'ai[87].i'</f>
        <v>2.198219E-3</v>
      </c>
      <c r="Z91" s="207">
        <f>[1]!'ai[87].isForce'</f>
        <v>0</v>
      </c>
      <c r="AA91" s="207" t="e">
        <f>[1]!'ai[87].vRaw'</f>
        <v>#REF!</v>
      </c>
      <c r="AB91" s="207">
        <f>[1]!'ai[87].isCorrect'</f>
        <v>0</v>
      </c>
      <c r="AC91" s="207" t="e">
        <f>[1]!'ai[87].vCorrect'</f>
        <v>#REF!</v>
      </c>
      <c r="AD91" s="207">
        <f>[1]!'ai[87].v'</f>
        <v>0</v>
      </c>
      <c r="AE91" s="207" t="e">
        <f>[1]!'ai[87].isCut'</f>
        <v>#REF!</v>
      </c>
      <c r="AF91" s="207" t="e">
        <f>[1]!'ai[87].vCut'</f>
        <v>#REF!</v>
      </c>
      <c r="AG91" s="208"/>
      <c r="AH91" s="207">
        <f>[1]!'ai[87].break.sgn'</f>
        <v>1</v>
      </c>
      <c r="AI91" s="208"/>
      <c r="AJ91" s="207">
        <f>[1]!'ai[87].ZL'</f>
        <v>0</v>
      </c>
      <c r="AK91" s="207">
        <f>[1]!'ai[87].ZH'</f>
        <v>100</v>
      </c>
      <c r="AL91" s="208"/>
      <c r="AM91" s="207">
        <f>[1]!'ai[87].RL.EN'</f>
        <v>1</v>
      </c>
      <c r="AN91" s="207">
        <f>[1]!'ai[87].RL.V'</f>
        <v>0</v>
      </c>
      <c r="AO91" s="207">
        <f>[1]!'ai[87].RL.fix'</f>
        <v>0</v>
      </c>
      <c r="AP91" s="208"/>
      <c r="AQ91" s="207">
        <f>[1]!'ai[87].RH.EN'</f>
        <v>1</v>
      </c>
      <c r="AR91" s="207">
        <f>[1]!'ai[87].RH.V'</f>
        <v>85</v>
      </c>
      <c r="AS91" s="207">
        <f>[1]!'ai[87].RH.fix'</f>
        <v>0</v>
      </c>
      <c r="AT91" s="208"/>
      <c r="AU91" s="207">
        <f>[1]!'ai[87].L.EN'</f>
        <v>0</v>
      </c>
      <c r="AV91" s="207">
        <f>[1]!'ai[87].L.V'</f>
        <v>0</v>
      </c>
      <c r="AW91" s="207">
        <f>[1]!'ai[87].L.fix'</f>
        <v>0</v>
      </c>
      <c r="AX91" s="208"/>
      <c r="AY91" s="207">
        <f>[1]!'ai[87].H.EN'</f>
        <v>0</v>
      </c>
      <c r="AZ91" s="207">
        <f>[1]!'ai[87].H.V'</f>
        <v>0</v>
      </c>
      <c r="BA91" s="207">
        <f>[1]!'ai[87].H.fix'</f>
        <v>0</v>
      </c>
      <c r="BB91" s="208"/>
      <c r="BC91" s="207">
        <f>[1]!'ai[87].LL.EN'</f>
        <v>0</v>
      </c>
      <c r="BD91" s="207">
        <f>[1]!'ai[87].LL.V'</f>
        <v>0</v>
      </c>
      <c r="BE91" s="207">
        <f>[1]!'ai[87].LL.fix'</f>
        <v>0</v>
      </c>
      <c r="BF91" s="208"/>
      <c r="BG91" s="207">
        <f>[1]!'ai[87].HH.EN'</f>
        <v>0</v>
      </c>
      <c r="BH91" s="207">
        <f>[1]!'ai[87].HH.V'</f>
        <v>0</v>
      </c>
      <c r="BI91" s="207">
        <f>[1]!'ai[87].HH.fix'</f>
        <v>0</v>
      </c>
      <c r="BJ91" s="209"/>
      <c r="BK91" s="207">
        <f>[1]!'ai[87].group'</f>
        <v>2</v>
      </c>
      <c r="BL91" s="207">
        <f>[1]!'ai[87].state'</f>
        <v>4</v>
      </c>
      <c r="BM91" s="207">
        <f>[1]!'ai[87].isInvScale'</f>
        <v>0</v>
      </c>
    </row>
    <row r="92" spans="1:65">
      <c r="A92" s="445"/>
      <c r="B92" s="446"/>
      <c r="C92" s="221">
        <v>8</v>
      </c>
      <c r="D92" s="221">
        <v>8</v>
      </c>
      <c r="E92" s="222" t="s">
        <v>381</v>
      </c>
      <c r="F92" s="222" t="s">
        <v>382</v>
      </c>
      <c r="G92" s="207">
        <f>[1]!'ai[88].ZL'</f>
        <v>0</v>
      </c>
      <c r="H92" s="207">
        <f>[1]!'ai[88].ZH'</f>
        <v>300</v>
      </c>
      <c r="I92" s="221" t="s">
        <v>383</v>
      </c>
      <c r="J92" s="207">
        <f>[1]!'ai[88].RL.V'</f>
        <v>125</v>
      </c>
      <c r="K92" s="207">
        <f>[1]!'ai[88].RH.V'</f>
        <v>210</v>
      </c>
      <c r="L92" s="207">
        <f>[1]!'ai[88].L.V'</f>
        <v>0</v>
      </c>
      <c r="M92" s="207">
        <f>[1]!'ai[88].H.V'</f>
        <v>0</v>
      </c>
      <c r="N92" s="207">
        <f>[1]!'ai[88].LL.V'</f>
        <v>0</v>
      </c>
      <c r="O92" s="207">
        <f>[1]!'ai[88].HH.V'</f>
        <v>0</v>
      </c>
      <c r="P92" s="223">
        <v>1</v>
      </c>
      <c r="Q92" s="224"/>
      <c r="R92" s="184"/>
      <c r="T92" s="207">
        <f>[1]!'ai[88].group'</f>
        <v>2</v>
      </c>
      <c r="X92" s="207">
        <f>[1]!'ai[88].EN'</f>
        <v>1</v>
      </c>
      <c r="Y92" s="207">
        <f>[1]!'ai[88].i'</f>
        <v>1.2559890000000001E-3</v>
      </c>
      <c r="Z92" s="207">
        <f>[1]!'ai[88].isForce'</f>
        <v>0</v>
      </c>
      <c r="AA92" s="207" t="e">
        <f>[1]!'ai[88].vRaw'</f>
        <v>#REF!</v>
      </c>
      <c r="AB92" s="207">
        <f>[1]!'ai[88].isCorrect'</f>
        <v>0</v>
      </c>
      <c r="AC92" s="207" t="e">
        <f>[1]!'ai[88].vCorrect'</f>
        <v>#REF!</v>
      </c>
      <c r="AD92" s="207">
        <f>[1]!'ai[88].v'</f>
        <v>0</v>
      </c>
      <c r="AE92" s="207" t="e">
        <f>[1]!'ai[88].isCut'</f>
        <v>#REF!</v>
      </c>
      <c r="AF92" s="207" t="e">
        <f>[1]!'ai[88].vCut'</f>
        <v>#REF!</v>
      </c>
      <c r="AG92" s="208"/>
      <c r="AH92" s="207">
        <f>[1]!'ai[88].break.sgn'</f>
        <v>1</v>
      </c>
      <c r="AI92" s="208"/>
      <c r="AJ92" s="207">
        <f>[1]!'ai[88].ZL'</f>
        <v>0</v>
      </c>
      <c r="AK92" s="207">
        <f>[1]!'ai[88].ZH'</f>
        <v>300</v>
      </c>
      <c r="AL92" s="208"/>
      <c r="AM92" s="207">
        <f>[1]!'ai[88].RL.EN'</f>
        <v>1</v>
      </c>
      <c r="AN92" s="207">
        <f>[1]!'ai[88].RL.V'</f>
        <v>125</v>
      </c>
      <c r="AO92" s="207">
        <f>[1]!'ai[88].RL.fix'</f>
        <v>0</v>
      </c>
      <c r="AP92" s="208"/>
      <c r="AQ92" s="207">
        <f>[1]!'ai[88].RH.EN'</f>
        <v>1</v>
      </c>
      <c r="AR92" s="207">
        <f>[1]!'ai[88].RH.V'</f>
        <v>210</v>
      </c>
      <c r="AS92" s="207">
        <f>[1]!'ai[88].RH.fix'</f>
        <v>0</v>
      </c>
      <c r="AT92" s="208"/>
      <c r="AU92" s="207">
        <f>[1]!'ai[88].L.EN'</f>
        <v>0</v>
      </c>
      <c r="AV92" s="207">
        <f>[1]!'ai[88].L.V'</f>
        <v>0</v>
      </c>
      <c r="AW92" s="207">
        <f>[1]!'ai[88].L.fix'</f>
        <v>0</v>
      </c>
      <c r="AX92" s="208"/>
      <c r="AY92" s="207">
        <f>[1]!'ai[88].H.EN'</f>
        <v>0</v>
      </c>
      <c r="AZ92" s="207">
        <f>[1]!'ai[88].H.V'</f>
        <v>0</v>
      </c>
      <c r="BA92" s="207">
        <f>[1]!'ai[88].H.fix'</f>
        <v>0</v>
      </c>
      <c r="BB92" s="208"/>
      <c r="BC92" s="207">
        <f>[1]!'ai[88].LL.EN'</f>
        <v>0</v>
      </c>
      <c r="BD92" s="207">
        <f>[1]!'ai[88].LL.V'</f>
        <v>0</v>
      </c>
      <c r="BE92" s="207">
        <f>[1]!'ai[88].LL.fix'</f>
        <v>0</v>
      </c>
      <c r="BF92" s="208"/>
      <c r="BG92" s="207">
        <f>[1]!'ai[88].HH.EN'</f>
        <v>0</v>
      </c>
      <c r="BH92" s="207">
        <f>[1]!'ai[88].HH.V'</f>
        <v>0</v>
      </c>
      <c r="BI92" s="207">
        <f>[1]!'ai[88].HH.fix'</f>
        <v>0</v>
      </c>
      <c r="BJ92" s="209"/>
      <c r="BK92" s="207">
        <f>[1]!'ai[88].group'</f>
        <v>2</v>
      </c>
      <c r="BL92" s="207">
        <f>[1]!'ai[88].state'</f>
        <v>4</v>
      </c>
      <c r="BM92" s="207">
        <f>[1]!'ai[88].isInvScale'</f>
        <v>0</v>
      </c>
    </row>
    <row r="93" spans="1:65">
      <c r="A93" s="445"/>
      <c r="B93" s="446"/>
      <c r="C93" s="221">
        <v>9</v>
      </c>
      <c r="D93" s="221">
        <v>9</v>
      </c>
      <c r="E93" s="222" t="s">
        <v>384</v>
      </c>
      <c r="F93" s="222" t="s">
        <v>385</v>
      </c>
      <c r="G93" s="207">
        <f>[1]!'ai[89].ZL'</f>
        <v>0</v>
      </c>
      <c r="H93" s="207">
        <f>[1]!'ai[89].ZH'</f>
        <v>300</v>
      </c>
      <c r="I93" s="221" t="s">
        <v>383</v>
      </c>
      <c r="J93" s="207">
        <f>[1]!'ai[89].RL.V'</f>
        <v>125</v>
      </c>
      <c r="K93" s="207">
        <f>[1]!'ai[89].RH.V'</f>
        <v>210</v>
      </c>
      <c r="L93" s="207">
        <f>[1]!'ai[89].L.V'</f>
        <v>0</v>
      </c>
      <c r="M93" s="207">
        <f>[1]!'ai[89].H.V'</f>
        <v>0</v>
      </c>
      <c r="N93" s="207">
        <f>[1]!'ai[89].LL.V'</f>
        <v>0</v>
      </c>
      <c r="O93" s="207">
        <f>[1]!'ai[89].HH.V'</f>
        <v>0</v>
      </c>
      <c r="P93" s="223">
        <v>1</v>
      </c>
      <c r="Q93" s="224"/>
      <c r="R93" s="184"/>
      <c r="T93" s="207">
        <f>[1]!'ai[89].group'</f>
        <v>2</v>
      </c>
      <c r="X93" s="207">
        <f>[1]!'ai[89].EN'</f>
        <v>1</v>
      </c>
      <c r="Y93" s="207">
        <f>[1]!'ai[89].i'</f>
        <v>1.570702E-3</v>
      </c>
      <c r="Z93" s="207">
        <f>[1]!'ai[89].isForce'</f>
        <v>0</v>
      </c>
      <c r="AA93" s="207" t="e">
        <f>[1]!'ai[89].vRaw'</f>
        <v>#REF!</v>
      </c>
      <c r="AB93" s="207">
        <f>[1]!'ai[89].isCorrect'</f>
        <v>0</v>
      </c>
      <c r="AC93" s="207" t="e">
        <f>[1]!'ai[89].vCorrect'</f>
        <v>#REF!</v>
      </c>
      <c r="AD93" s="207">
        <f>[1]!'ai[89].v'</f>
        <v>0</v>
      </c>
      <c r="AE93" s="207" t="e">
        <f>[1]!'ai[89].isCut'</f>
        <v>#REF!</v>
      </c>
      <c r="AF93" s="207" t="e">
        <f>[1]!'ai[89].vCut'</f>
        <v>#REF!</v>
      </c>
      <c r="AG93" s="208"/>
      <c r="AH93" s="207">
        <f>[1]!'ai[89].break.sgn'</f>
        <v>1</v>
      </c>
      <c r="AI93" s="208"/>
      <c r="AJ93" s="207">
        <f>[1]!'ai[89].ZL'</f>
        <v>0</v>
      </c>
      <c r="AK93" s="207">
        <f>[1]!'ai[89].ZH'</f>
        <v>300</v>
      </c>
      <c r="AL93" s="208"/>
      <c r="AM93" s="207">
        <f>[1]!'ai[89].RL.EN'</f>
        <v>1</v>
      </c>
      <c r="AN93" s="207">
        <f>[1]!'ai[89].RL.V'</f>
        <v>125</v>
      </c>
      <c r="AO93" s="207">
        <f>[1]!'ai[89].RL.fix'</f>
        <v>0</v>
      </c>
      <c r="AP93" s="208"/>
      <c r="AQ93" s="207">
        <f>[1]!'ai[89].RH.EN'</f>
        <v>1</v>
      </c>
      <c r="AR93" s="207">
        <f>[1]!'ai[89].RH.V'</f>
        <v>210</v>
      </c>
      <c r="AS93" s="207">
        <f>[1]!'ai[89].RH.fix'</f>
        <v>0</v>
      </c>
      <c r="AT93" s="208"/>
      <c r="AU93" s="207">
        <f>[1]!'ai[89].L.EN'</f>
        <v>0</v>
      </c>
      <c r="AV93" s="207">
        <f>[1]!'ai[89].L.V'</f>
        <v>0</v>
      </c>
      <c r="AW93" s="207">
        <f>[1]!'ai[89].L.fix'</f>
        <v>0</v>
      </c>
      <c r="AX93" s="208"/>
      <c r="AY93" s="207">
        <f>[1]!'ai[89].H.EN'</f>
        <v>0</v>
      </c>
      <c r="AZ93" s="207">
        <f>[1]!'ai[89].H.V'</f>
        <v>0</v>
      </c>
      <c r="BA93" s="207">
        <f>[1]!'ai[89].H.fix'</f>
        <v>0</v>
      </c>
      <c r="BB93" s="208"/>
      <c r="BC93" s="207">
        <f>[1]!'ai[89].LL.EN'</f>
        <v>0</v>
      </c>
      <c r="BD93" s="207">
        <f>[1]!'ai[89].LL.V'</f>
        <v>0</v>
      </c>
      <c r="BE93" s="207">
        <f>[1]!'ai[89].LL.fix'</f>
        <v>0</v>
      </c>
      <c r="BF93" s="208"/>
      <c r="BG93" s="207">
        <f>[1]!'ai[89].HH.EN'</f>
        <v>0</v>
      </c>
      <c r="BH93" s="207">
        <f>[1]!'ai[89].HH.V'</f>
        <v>0</v>
      </c>
      <c r="BI93" s="207">
        <f>[1]!'ai[89].HH.fix'</f>
        <v>0</v>
      </c>
      <c r="BJ93" s="209"/>
      <c r="BK93" s="207">
        <f>[1]!'ai[89].group'</f>
        <v>2</v>
      </c>
      <c r="BL93" s="207">
        <f>[1]!'ai[89].state'</f>
        <v>4</v>
      </c>
      <c r="BM93" s="207">
        <f>[1]!'ai[89].isInvScale'</f>
        <v>0</v>
      </c>
    </row>
    <row r="94" spans="1:65">
      <c r="A94" s="445"/>
      <c r="B94" s="446"/>
      <c r="C94" s="221">
        <v>10</v>
      </c>
      <c r="D94" s="221">
        <v>10</v>
      </c>
      <c r="E94" s="222" t="s">
        <v>386</v>
      </c>
      <c r="F94" s="222" t="s">
        <v>387</v>
      </c>
      <c r="G94" s="207">
        <f>[1]!'ai[90].ZL'</f>
        <v>0</v>
      </c>
      <c r="H94" s="207">
        <f>[1]!'ai[90].ZH'</f>
        <v>300</v>
      </c>
      <c r="I94" s="221" t="s">
        <v>366</v>
      </c>
      <c r="J94" s="207">
        <f>[1]!'ai[90].RL.V'</f>
        <v>125</v>
      </c>
      <c r="K94" s="207">
        <f>[1]!'ai[90].RH.V'</f>
        <v>210</v>
      </c>
      <c r="L94" s="207">
        <f>[1]!'ai[90].L.V'</f>
        <v>0</v>
      </c>
      <c r="M94" s="207">
        <f>[1]!'ai[90].H.V'</f>
        <v>0</v>
      </c>
      <c r="N94" s="207">
        <f>[1]!'ai[90].LL.V'</f>
        <v>0</v>
      </c>
      <c r="O94" s="207">
        <f>[1]!'ai[90].HH.V'</f>
        <v>0</v>
      </c>
      <c r="P94" s="223">
        <v>4</v>
      </c>
      <c r="Q94" s="224">
        <v>3</v>
      </c>
      <c r="R94" s="184"/>
      <c r="T94" s="207">
        <f>[1]!'ai[90].group'</f>
        <v>2</v>
      </c>
      <c r="X94" s="207">
        <f>[1]!'ai[90].EN'</f>
        <v>1</v>
      </c>
      <c r="Y94" s="207">
        <f>[1]!'ai[90].i'</f>
        <v>1.570702E-3</v>
      </c>
      <c r="Z94" s="207">
        <f>[1]!'ai[90].isForce'</f>
        <v>0</v>
      </c>
      <c r="AA94" s="207" t="e">
        <f>[1]!'ai[90].vRaw'</f>
        <v>#REF!</v>
      </c>
      <c r="AB94" s="207">
        <f>[1]!'ai[90].isCorrect'</f>
        <v>0</v>
      </c>
      <c r="AC94" s="207" t="e">
        <f>[1]!'ai[90].vCorrect'</f>
        <v>#REF!</v>
      </c>
      <c r="AD94" s="207">
        <f>[1]!'ai[90].v'</f>
        <v>0</v>
      </c>
      <c r="AE94" s="207" t="e">
        <f>[1]!'ai[90].isCut'</f>
        <v>#REF!</v>
      </c>
      <c r="AF94" s="207" t="e">
        <f>[1]!'ai[90].vCut'</f>
        <v>#REF!</v>
      </c>
      <c r="AG94" s="208"/>
      <c r="AH94" s="207">
        <f>[1]!'ai[90].break.sgn'</f>
        <v>1</v>
      </c>
      <c r="AI94" s="208"/>
      <c r="AJ94" s="207">
        <f>[1]!'ai[90].ZL'</f>
        <v>0</v>
      </c>
      <c r="AK94" s="207">
        <f>[1]!'ai[90].ZH'</f>
        <v>300</v>
      </c>
      <c r="AL94" s="208"/>
      <c r="AM94" s="207">
        <f>[1]!'ai[90].RL.EN'</f>
        <v>1</v>
      </c>
      <c r="AN94" s="207">
        <f>[1]!'ai[90].RL.V'</f>
        <v>125</v>
      </c>
      <c r="AO94" s="207">
        <f>[1]!'ai[90].RL.fix'</f>
        <v>0</v>
      </c>
      <c r="AP94" s="208"/>
      <c r="AQ94" s="207">
        <f>[1]!'ai[90].RH.EN'</f>
        <v>1</v>
      </c>
      <c r="AR94" s="207">
        <f>[1]!'ai[90].RH.V'</f>
        <v>210</v>
      </c>
      <c r="AS94" s="207">
        <f>[1]!'ai[90].RH.fix'</f>
        <v>0</v>
      </c>
      <c r="AT94" s="208"/>
      <c r="AU94" s="207">
        <f>[1]!'ai[90].L.EN'</f>
        <v>0</v>
      </c>
      <c r="AV94" s="207">
        <f>[1]!'ai[90].L.V'</f>
        <v>0</v>
      </c>
      <c r="AW94" s="207">
        <f>[1]!'ai[90].L.fix'</f>
        <v>0</v>
      </c>
      <c r="AX94" s="208"/>
      <c r="AY94" s="207">
        <f>[1]!'ai[90].H.EN'</f>
        <v>0</v>
      </c>
      <c r="AZ94" s="207">
        <f>[1]!'ai[90].H.V'</f>
        <v>0</v>
      </c>
      <c r="BA94" s="207">
        <f>[1]!'ai[90].H.fix'</f>
        <v>0</v>
      </c>
      <c r="BB94" s="208"/>
      <c r="BC94" s="207">
        <f>[1]!'ai[90].LL.EN'</f>
        <v>0</v>
      </c>
      <c r="BD94" s="207">
        <f>[1]!'ai[90].LL.V'</f>
        <v>0</v>
      </c>
      <c r="BE94" s="207">
        <f>[1]!'ai[90].LL.fix'</f>
        <v>0</v>
      </c>
      <c r="BF94" s="208"/>
      <c r="BG94" s="207">
        <f>[1]!'ai[90].HH.EN'</f>
        <v>0</v>
      </c>
      <c r="BH94" s="207">
        <f>[1]!'ai[90].HH.V'</f>
        <v>0</v>
      </c>
      <c r="BI94" s="207">
        <f>[1]!'ai[90].HH.fix'</f>
        <v>0</v>
      </c>
      <c r="BJ94" s="210"/>
      <c r="BK94" s="207">
        <f>[1]!'ai[90].group'</f>
        <v>2</v>
      </c>
      <c r="BL94" s="207">
        <f>[1]!'ai[90].state'</f>
        <v>4</v>
      </c>
      <c r="BM94" s="207">
        <f>[1]!'ai[90].isInvScale'</f>
        <v>0</v>
      </c>
    </row>
    <row r="95" spans="1:65">
      <c r="A95" s="445"/>
      <c r="B95" s="446"/>
      <c r="C95" s="221">
        <v>11</v>
      </c>
      <c r="D95" s="221">
        <v>11</v>
      </c>
      <c r="E95" s="222" t="s">
        <v>388</v>
      </c>
      <c r="F95" s="222" t="s">
        <v>389</v>
      </c>
      <c r="G95" s="207">
        <f>[1]!'ai[91].ZL'</f>
        <v>0</v>
      </c>
      <c r="H95" s="207">
        <f>[1]!'ai[91].ZH'</f>
        <v>100</v>
      </c>
      <c r="I95" s="221" t="s">
        <v>366</v>
      </c>
      <c r="J95" s="207">
        <f>[1]!'ai[91].RL.V'</f>
        <v>0</v>
      </c>
      <c r="K95" s="207">
        <f>[1]!'ai[91].RH.V'</f>
        <v>0</v>
      </c>
      <c r="L95" s="207">
        <f>[1]!'ai[91].L.V'</f>
        <v>0</v>
      </c>
      <c r="M95" s="207">
        <f>[1]!'ai[91].H.V'</f>
        <v>0</v>
      </c>
      <c r="N95" s="207">
        <f>[1]!'ai[91].LL.V'</f>
        <v>0</v>
      </c>
      <c r="O95" s="207">
        <f>[1]!'ai[91].HH.V'</f>
        <v>0</v>
      </c>
      <c r="P95" s="223">
        <v>4</v>
      </c>
      <c r="Q95" s="224">
        <v>3</v>
      </c>
      <c r="R95" s="184"/>
      <c r="T95" s="207">
        <f>[1]!'ai[91].group'</f>
        <v>2</v>
      </c>
      <c r="X95" s="207">
        <f>[1]!'ai[91].EN'</f>
        <v>1</v>
      </c>
      <c r="Y95" s="207">
        <f>[1]!'ai[91].i'</f>
        <v>1.570702E-3</v>
      </c>
      <c r="Z95" s="207">
        <f>[1]!'ai[91].isForce'</f>
        <v>0</v>
      </c>
      <c r="AA95" s="207" t="e">
        <f>[1]!'ai[91].vRaw'</f>
        <v>#REF!</v>
      </c>
      <c r="AB95" s="207">
        <f>[1]!'ai[91].isCorrect'</f>
        <v>0</v>
      </c>
      <c r="AC95" s="207" t="e">
        <f>[1]!'ai[91].vCorrect'</f>
        <v>#REF!</v>
      </c>
      <c r="AD95" s="207">
        <f>[1]!'ai[91].v'</f>
        <v>0</v>
      </c>
      <c r="AE95" s="207" t="e">
        <f>[1]!'ai[91].isCut'</f>
        <v>#REF!</v>
      </c>
      <c r="AF95" s="207" t="e">
        <f>[1]!'ai[91].vCut'</f>
        <v>#REF!</v>
      </c>
      <c r="AG95" s="208"/>
      <c r="AH95" s="207">
        <f>[1]!'ai[91].break.sgn'</f>
        <v>1</v>
      </c>
      <c r="AI95" s="208"/>
      <c r="AJ95" s="207">
        <f>[1]!'ai[91].ZL'</f>
        <v>0</v>
      </c>
      <c r="AK95" s="207">
        <f>[1]!'ai[91].ZH'</f>
        <v>100</v>
      </c>
      <c r="AL95" s="208"/>
      <c r="AM95" s="207">
        <f>[1]!'ai[91].RL.EN'</f>
        <v>0</v>
      </c>
      <c r="AN95" s="207">
        <f>[1]!'ai[91].RL.V'</f>
        <v>0</v>
      </c>
      <c r="AO95" s="207">
        <f>[1]!'ai[91].RL.fix'</f>
        <v>0</v>
      </c>
      <c r="AP95" s="208"/>
      <c r="AQ95" s="207">
        <f>[1]!'ai[91].RH.EN'</f>
        <v>0</v>
      </c>
      <c r="AR95" s="207">
        <f>[1]!'ai[91].RH.V'</f>
        <v>0</v>
      </c>
      <c r="AS95" s="207">
        <f>[1]!'ai[91].RH.fix'</f>
        <v>0</v>
      </c>
      <c r="AT95" s="208"/>
      <c r="AU95" s="207">
        <f>[1]!'ai[91].L.EN'</f>
        <v>0</v>
      </c>
      <c r="AV95" s="207">
        <f>[1]!'ai[91].L.V'</f>
        <v>0</v>
      </c>
      <c r="AW95" s="207">
        <f>[1]!'ai[91].L.fix'</f>
        <v>0</v>
      </c>
      <c r="AX95" s="208"/>
      <c r="AY95" s="207">
        <f>[1]!'ai[91].H.EN'</f>
        <v>0</v>
      </c>
      <c r="AZ95" s="207">
        <f>[1]!'ai[91].H.V'</f>
        <v>0</v>
      </c>
      <c r="BA95" s="207">
        <f>[1]!'ai[91].H.fix'</f>
        <v>0</v>
      </c>
      <c r="BB95" s="208"/>
      <c r="BC95" s="207">
        <f>[1]!'ai[91].LL.EN'</f>
        <v>0</v>
      </c>
      <c r="BD95" s="207">
        <f>[1]!'ai[91].LL.V'</f>
        <v>0</v>
      </c>
      <c r="BE95" s="207">
        <f>[1]!'ai[91].LL.fix'</f>
        <v>0</v>
      </c>
      <c r="BF95" s="208"/>
      <c r="BG95" s="207">
        <f>[1]!'ai[91].HH.EN'</f>
        <v>0</v>
      </c>
      <c r="BH95" s="207">
        <f>[1]!'ai[91].HH.V'</f>
        <v>0</v>
      </c>
      <c r="BI95" s="207">
        <f>[1]!'ai[91].HH.fix'</f>
        <v>0</v>
      </c>
      <c r="BJ95" s="210"/>
      <c r="BK95" s="207">
        <f>[1]!'ai[91].group'</f>
        <v>2</v>
      </c>
      <c r="BL95" s="207">
        <f>[1]!'ai[91].state'</f>
        <v>4</v>
      </c>
      <c r="BM95" s="207">
        <f>[1]!'ai[91].isInvScale'</f>
        <v>0</v>
      </c>
    </row>
    <row r="96" spans="1:65">
      <c r="A96" s="445"/>
      <c r="B96" s="446"/>
      <c r="C96" s="221">
        <v>12</v>
      </c>
      <c r="D96" s="221">
        <v>12</v>
      </c>
      <c r="E96" s="222" t="s">
        <v>390</v>
      </c>
      <c r="F96" s="222" t="s">
        <v>391</v>
      </c>
      <c r="G96" s="207">
        <f>[1]!'ai[92].ZL'</f>
        <v>0</v>
      </c>
      <c r="H96" s="207">
        <f>[1]!'ai[92].ZH'</f>
        <v>0</v>
      </c>
      <c r="I96" s="221" t="s">
        <v>366</v>
      </c>
      <c r="J96" s="207">
        <f>[1]!'ai[92].RL.V'</f>
        <v>0</v>
      </c>
      <c r="K96" s="207">
        <f>[1]!'ai[92].RH.V'</f>
        <v>0</v>
      </c>
      <c r="L96" s="207">
        <f>[1]!'ai[92].L.V'</f>
        <v>0</v>
      </c>
      <c r="M96" s="207">
        <f>[1]!'ai[92].H.V'</f>
        <v>0</v>
      </c>
      <c r="N96" s="207">
        <f>[1]!'ai[92].LL.V'</f>
        <v>0</v>
      </c>
      <c r="O96" s="207">
        <f>[1]!'ai[92].HH.V'</f>
        <v>0</v>
      </c>
      <c r="P96" s="223">
        <v>4</v>
      </c>
      <c r="Q96" s="224">
        <v>3</v>
      </c>
      <c r="R96" s="184"/>
      <c r="T96" s="207">
        <f>[1]!'ai[92].group'</f>
        <v>0</v>
      </c>
      <c r="X96" s="207">
        <f>[1]!'ai[92].EN'</f>
        <v>0</v>
      </c>
      <c r="Y96" s="207">
        <f>[1]!'ai[92].i'</f>
        <v>0</v>
      </c>
      <c r="Z96" s="207">
        <f>[1]!'ai[92].isForce'</f>
        <v>0</v>
      </c>
      <c r="AA96" s="207" t="e">
        <f>[1]!'ai[92].vRaw'</f>
        <v>#REF!</v>
      </c>
      <c r="AB96" s="207">
        <f>[1]!'ai[92].isCorrect'</f>
        <v>0</v>
      </c>
      <c r="AC96" s="207" t="e">
        <f>[1]!'ai[92].vCorrect'</f>
        <v>#REF!</v>
      </c>
      <c r="AD96" s="207">
        <f>[1]!'ai[92].v'</f>
        <v>0</v>
      </c>
      <c r="AE96" s="207" t="e">
        <f>[1]!'ai[92].isCut'</f>
        <v>#REF!</v>
      </c>
      <c r="AF96" s="207" t="e">
        <f>[1]!'ai[92].vCut'</f>
        <v>#REF!</v>
      </c>
      <c r="AG96" s="208"/>
      <c r="AH96" s="207">
        <f>[1]!'ai[92].break.sgn'</f>
        <v>0</v>
      </c>
      <c r="AI96" s="208"/>
      <c r="AJ96" s="207">
        <f>[1]!'ai[92].ZL'</f>
        <v>0</v>
      </c>
      <c r="AK96" s="207">
        <f>[1]!'ai[92].ZH'</f>
        <v>0</v>
      </c>
      <c r="AL96" s="208"/>
      <c r="AM96" s="207">
        <f>[1]!'ai[92].RL.EN'</f>
        <v>0</v>
      </c>
      <c r="AN96" s="207">
        <f>[1]!'ai[92].RL.V'</f>
        <v>0</v>
      </c>
      <c r="AO96" s="207">
        <f>[1]!'ai[92].RL.fix'</f>
        <v>0</v>
      </c>
      <c r="AP96" s="208"/>
      <c r="AQ96" s="207">
        <f>[1]!'ai[92].RH.EN'</f>
        <v>0</v>
      </c>
      <c r="AR96" s="207">
        <f>[1]!'ai[92].RH.V'</f>
        <v>0</v>
      </c>
      <c r="AS96" s="207">
        <f>[1]!'ai[92].RH.fix'</f>
        <v>0</v>
      </c>
      <c r="AT96" s="208"/>
      <c r="AU96" s="207">
        <f>[1]!'ai[92].L.EN'</f>
        <v>0</v>
      </c>
      <c r="AV96" s="207">
        <f>[1]!'ai[92].L.V'</f>
        <v>0</v>
      </c>
      <c r="AW96" s="207">
        <f>[1]!'ai[92].L.fix'</f>
        <v>0</v>
      </c>
      <c r="AX96" s="208"/>
      <c r="AY96" s="207">
        <f>[1]!'ai[92].H.EN'</f>
        <v>0</v>
      </c>
      <c r="AZ96" s="207">
        <f>[1]!'ai[92].H.V'</f>
        <v>0</v>
      </c>
      <c r="BA96" s="207">
        <f>[1]!'ai[92].H.fix'</f>
        <v>0</v>
      </c>
      <c r="BB96" s="208"/>
      <c r="BC96" s="207">
        <f>[1]!'ai[92].LL.EN'</f>
        <v>0</v>
      </c>
      <c r="BD96" s="207">
        <f>[1]!'ai[92].LL.V'</f>
        <v>0</v>
      </c>
      <c r="BE96" s="207">
        <f>[1]!'ai[92].LL.fix'</f>
        <v>0</v>
      </c>
      <c r="BF96" s="208"/>
      <c r="BG96" s="207">
        <f>[1]!'ai[92].HH.EN'</f>
        <v>0</v>
      </c>
      <c r="BH96" s="207">
        <f>[1]!'ai[92].HH.V'</f>
        <v>0</v>
      </c>
      <c r="BI96" s="207">
        <f>[1]!'ai[92].HH.fix'</f>
        <v>0</v>
      </c>
      <c r="BJ96" s="210"/>
      <c r="BK96" s="207">
        <f>[1]!'ai[92].group'</f>
        <v>0</v>
      </c>
      <c r="BL96" s="207">
        <f>[1]!'ai[92].state'</f>
        <v>4</v>
      </c>
      <c r="BM96" s="207">
        <f>[1]!'ai[92].isInvScale'</f>
        <v>0</v>
      </c>
    </row>
    <row r="97" spans="1:65">
      <c r="A97" s="445"/>
      <c r="B97" s="446"/>
      <c r="C97" s="221">
        <v>13</v>
      </c>
      <c r="D97" s="221">
        <v>13</v>
      </c>
      <c r="E97" s="222" t="s">
        <v>392</v>
      </c>
      <c r="F97" s="222" t="s">
        <v>393</v>
      </c>
      <c r="G97" s="207">
        <f>[1]!'ai[93].ZL'</f>
        <v>0</v>
      </c>
      <c r="H97" s="207">
        <f>[1]!'ai[93].ZH'</f>
        <v>0</v>
      </c>
      <c r="I97" s="221" t="s">
        <v>366</v>
      </c>
      <c r="J97" s="207">
        <f>[1]!'ai[93].RL.V'</f>
        <v>0</v>
      </c>
      <c r="K97" s="207">
        <f>[1]!'ai[93].RH.V'</f>
        <v>0</v>
      </c>
      <c r="L97" s="207">
        <f>[1]!'ai[93].L.V'</f>
        <v>0</v>
      </c>
      <c r="M97" s="207">
        <f>[1]!'ai[93].H.V'</f>
        <v>0</v>
      </c>
      <c r="N97" s="207">
        <f>[1]!'ai[93].LL.V'</f>
        <v>0</v>
      </c>
      <c r="O97" s="207">
        <f>[1]!'ai[93].HH.V'</f>
        <v>0</v>
      </c>
      <c r="P97" s="223">
        <v>4</v>
      </c>
      <c r="Q97" s="224">
        <v>3</v>
      </c>
      <c r="R97" s="184"/>
      <c r="T97" s="207">
        <f>[1]!'ai[93].group'</f>
        <v>0</v>
      </c>
      <c r="X97" s="207">
        <f>[1]!'ai[93].EN'</f>
        <v>0</v>
      </c>
      <c r="Y97" s="207">
        <f>[1]!'ai[93].i'</f>
        <v>0</v>
      </c>
      <c r="Z97" s="207">
        <f>[1]!'ai[93].isForce'</f>
        <v>0</v>
      </c>
      <c r="AA97" s="207" t="e">
        <f>[1]!'ai[93].vRaw'</f>
        <v>#REF!</v>
      </c>
      <c r="AB97" s="207">
        <f>[1]!'ai[93].isCorrect'</f>
        <v>0</v>
      </c>
      <c r="AC97" s="207" t="e">
        <f>[1]!'ai[93].vCorrect'</f>
        <v>#REF!</v>
      </c>
      <c r="AD97" s="207">
        <f>[1]!'ai[93].v'</f>
        <v>0</v>
      </c>
      <c r="AE97" s="207" t="e">
        <f>[1]!'ai[93].isCut'</f>
        <v>#REF!</v>
      </c>
      <c r="AF97" s="207" t="e">
        <f>[1]!'ai[93].vCut'</f>
        <v>#REF!</v>
      </c>
      <c r="AG97" s="208"/>
      <c r="AH97" s="207">
        <f>[1]!'ai[93].break.sgn'</f>
        <v>0</v>
      </c>
      <c r="AI97" s="208"/>
      <c r="AJ97" s="207">
        <f>[1]!'ai[93].ZL'</f>
        <v>0</v>
      </c>
      <c r="AK97" s="207">
        <f>[1]!'ai[93].ZH'</f>
        <v>0</v>
      </c>
      <c r="AL97" s="208"/>
      <c r="AM97" s="207">
        <f>[1]!'ai[93].RL.EN'</f>
        <v>0</v>
      </c>
      <c r="AN97" s="207">
        <f>[1]!'ai[93].RL.V'</f>
        <v>0</v>
      </c>
      <c r="AO97" s="207">
        <f>[1]!'ai[93].RL.fix'</f>
        <v>0</v>
      </c>
      <c r="AP97" s="208"/>
      <c r="AQ97" s="207">
        <f>[1]!'ai[93].RH.EN'</f>
        <v>0</v>
      </c>
      <c r="AR97" s="207">
        <f>[1]!'ai[93].RH.V'</f>
        <v>0</v>
      </c>
      <c r="AS97" s="207">
        <f>[1]!'ai[93].RH.fix'</f>
        <v>0</v>
      </c>
      <c r="AT97" s="208"/>
      <c r="AU97" s="207">
        <f>[1]!'ai[93].L.EN'</f>
        <v>0</v>
      </c>
      <c r="AV97" s="207">
        <f>[1]!'ai[93].L.V'</f>
        <v>0</v>
      </c>
      <c r="AW97" s="207">
        <f>[1]!'ai[93].L.fix'</f>
        <v>0</v>
      </c>
      <c r="AX97" s="208"/>
      <c r="AY97" s="207">
        <f>[1]!'ai[93].H.EN'</f>
        <v>0</v>
      </c>
      <c r="AZ97" s="207">
        <f>[1]!'ai[93].H.V'</f>
        <v>0</v>
      </c>
      <c r="BA97" s="207">
        <f>[1]!'ai[93].H.fix'</f>
        <v>0</v>
      </c>
      <c r="BB97" s="208"/>
      <c r="BC97" s="207">
        <f>[1]!'ai[93].LL.EN'</f>
        <v>0</v>
      </c>
      <c r="BD97" s="207">
        <f>[1]!'ai[93].LL.V'</f>
        <v>0</v>
      </c>
      <c r="BE97" s="207">
        <f>[1]!'ai[93].LL.fix'</f>
        <v>0</v>
      </c>
      <c r="BF97" s="208"/>
      <c r="BG97" s="207">
        <f>[1]!'ai[93].HH.EN'</f>
        <v>0</v>
      </c>
      <c r="BH97" s="207">
        <f>[1]!'ai[93].HH.V'</f>
        <v>0</v>
      </c>
      <c r="BI97" s="207">
        <f>[1]!'ai[93].HH.fix'</f>
        <v>0</v>
      </c>
      <c r="BJ97" s="210"/>
      <c r="BK97" s="207">
        <f>[1]!'ai[93].group'</f>
        <v>0</v>
      </c>
      <c r="BL97" s="207">
        <f>[1]!'ai[93].state'</f>
        <v>4</v>
      </c>
      <c r="BM97" s="207">
        <f>[1]!'ai[93].isInvScale'</f>
        <v>0</v>
      </c>
    </row>
    <row r="98" spans="1:65">
      <c r="A98" s="445"/>
      <c r="B98" s="446"/>
      <c r="C98" s="221">
        <v>14</v>
      </c>
      <c r="D98" s="221">
        <v>14</v>
      </c>
      <c r="E98" s="222" t="s">
        <v>394</v>
      </c>
      <c r="F98" s="222" t="s">
        <v>395</v>
      </c>
      <c r="G98" s="207">
        <f>[1]!'ai[94].ZL'</f>
        <v>0</v>
      </c>
      <c r="H98" s="207">
        <f>[1]!'ai[94].ZH'</f>
        <v>0</v>
      </c>
      <c r="I98" s="221" t="s">
        <v>366</v>
      </c>
      <c r="J98" s="207">
        <f>[1]!'ai[94].RL.V'</f>
        <v>0</v>
      </c>
      <c r="K98" s="207">
        <f>[1]!'ai[94].RH.V'</f>
        <v>0</v>
      </c>
      <c r="L98" s="207">
        <f>[1]!'ai[94].L.V'</f>
        <v>0</v>
      </c>
      <c r="M98" s="207">
        <f>[1]!'ai[94].H.V'</f>
        <v>0</v>
      </c>
      <c r="N98" s="207">
        <f>[1]!'ai[94].LL.V'</f>
        <v>0</v>
      </c>
      <c r="O98" s="207">
        <f>[1]!'ai[94].HH.V'</f>
        <v>0</v>
      </c>
      <c r="P98" s="223">
        <v>4</v>
      </c>
      <c r="Q98" s="224">
        <v>3</v>
      </c>
      <c r="R98" s="184"/>
      <c r="T98" s="207">
        <f>[1]!'ai[94].group'</f>
        <v>0</v>
      </c>
      <c r="X98" s="207">
        <f>[1]!'ai[94].EN'</f>
        <v>0</v>
      </c>
      <c r="Y98" s="207">
        <f>[1]!'ai[94].i'</f>
        <v>0</v>
      </c>
      <c r="Z98" s="207">
        <f>[1]!'ai[94].isForce'</f>
        <v>0</v>
      </c>
      <c r="AA98" s="207" t="e">
        <f>[1]!'ai[94].vRaw'</f>
        <v>#REF!</v>
      </c>
      <c r="AB98" s="207">
        <f>[1]!'ai[94].isCorrect'</f>
        <v>0</v>
      </c>
      <c r="AC98" s="207" t="e">
        <f>[1]!'ai[94].vCorrect'</f>
        <v>#REF!</v>
      </c>
      <c r="AD98" s="207">
        <f>[1]!'ai[94].v'</f>
        <v>0</v>
      </c>
      <c r="AE98" s="207" t="e">
        <f>[1]!'ai[94].isCut'</f>
        <v>#REF!</v>
      </c>
      <c r="AF98" s="207" t="e">
        <f>[1]!'ai[94].vCut'</f>
        <v>#REF!</v>
      </c>
      <c r="AG98" s="208"/>
      <c r="AH98" s="207">
        <f>[1]!'ai[94].break.sgn'</f>
        <v>0</v>
      </c>
      <c r="AI98" s="208"/>
      <c r="AJ98" s="207">
        <f>[1]!'ai[94].ZL'</f>
        <v>0</v>
      </c>
      <c r="AK98" s="207">
        <f>[1]!'ai[94].ZH'</f>
        <v>0</v>
      </c>
      <c r="AL98" s="208"/>
      <c r="AM98" s="207">
        <f>[1]!'ai[94].RL.EN'</f>
        <v>0</v>
      </c>
      <c r="AN98" s="207">
        <f>[1]!'ai[94].RL.V'</f>
        <v>0</v>
      </c>
      <c r="AO98" s="207">
        <f>[1]!'ai[94].RL.fix'</f>
        <v>0</v>
      </c>
      <c r="AP98" s="208"/>
      <c r="AQ98" s="207">
        <f>[1]!'ai[94].RH.EN'</f>
        <v>0</v>
      </c>
      <c r="AR98" s="207">
        <f>[1]!'ai[94].RH.V'</f>
        <v>0</v>
      </c>
      <c r="AS98" s="207">
        <f>[1]!'ai[94].RH.fix'</f>
        <v>0</v>
      </c>
      <c r="AT98" s="208"/>
      <c r="AU98" s="207">
        <f>[1]!'ai[94].L.EN'</f>
        <v>0</v>
      </c>
      <c r="AV98" s="207">
        <f>[1]!'ai[94].L.V'</f>
        <v>0</v>
      </c>
      <c r="AW98" s="207">
        <f>[1]!'ai[94].L.fix'</f>
        <v>0</v>
      </c>
      <c r="AX98" s="208"/>
      <c r="AY98" s="207">
        <f>[1]!'ai[94].H.EN'</f>
        <v>0</v>
      </c>
      <c r="AZ98" s="207">
        <f>[1]!'ai[94].H.V'</f>
        <v>0</v>
      </c>
      <c r="BA98" s="207">
        <f>[1]!'ai[94].H.fix'</f>
        <v>0</v>
      </c>
      <c r="BB98" s="208"/>
      <c r="BC98" s="207">
        <f>[1]!'ai[94].LL.EN'</f>
        <v>0</v>
      </c>
      <c r="BD98" s="207">
        <f>[1]!'ai[94].LL.V'</f>
        <v>0</v>
      </c>
      <c r="BE98" s="207">
        <f>[1]!'ai[94].LL.fix'</f>
        <v>0</v>
      </c>
      <c r="BF98" s="208"/>
      <c r="BG98" s="207">
        <f>[1]!'ai[94].HH.EN'</f>
        <v>0</v>
      </c>
      <c r="BH98" s="207">
        <f>[1]!'ai[94].HH.V'</f>
        <v>0</v>
      </c>
      <c r="BI98" s="207">
        <f>[1]!'ai[94].HH.fix'</f>
        <v>0</v>
      </c>
      <c r="BJ98" s="210"/>
      <c r="BK98" s="207">
        <f>[1]!'ai[94].group'</f>
        <v>0</v>
      </c>
      <c r="BL98" s="207">
        <f>[1]!'ai[94].state'</f>
        <v>4</v>
      </c>
      <c r="BM98" s="207">
        <f>[1]!'ai[94].isInvScale'</f>
        <v>0</v>
      </c>
    </row>
    <row r="99" spans="1:65" ht="15.75" thickBot="1">
      <c r="A99" s="445"/>
      <c r="B99" s="446"/>
      <c r="C99" s="225">
        <v>15</v>
      </c>
      <c r="D99" s="225">
        <v>15</v>
      </c>
      <c r="E99" s="226" t="s">
        <v>396</v>
      </c>
      <c r="F99" s="226" t="s">
        <v>397</v>
      </c>
      <c r="G99" s="207">
        <f>[1]!'ai[95].ZL'</f>
        <v>0</v>
      </c>
      <c r="H99" s="207">
        <f>[1]!'ai[95].ZH'</f>
        <v>0</v>
      </c>
      <c r="I99" s="225" t="s">
        <v>366</v>
      </c>
      <c r="J99" s="207">
        <f>[1]!'ai[95].RL.V'</f>
        <v>0</v>
      </c>
      <c r="K99" s="207">
        <f>[1]!'ai[95].RH.V'</f>
        <v>0</v>
      </c>
      <c r="L99" s="207">
        <f>[1]!'ai[95].L.V'</f>
        <v>0</v>
      </c>
      <c r="M99" s="207">
        <f>[1]!'ai[95].H.V'</f>
        <v>0</v>
      </c>
      <c r="N99" s="207">
        <f>[1]!'ai[95].LL.V'</f>
        <v>0</v>
      </c>
      <c r="O99" s="207">
        <f>[1]!'ai[95].HH.V'</f>
        <v>0</v>
      </c>
      <c r="P99" s="227">
        <v>4</v>
      </c>
      <c r="Q99" s="228">
        <v>3</v>
      </c>
      <c r="R99" s="190"/>
      <c r="T99" s="207">
        <f>[1]!'ai[95].group'</f>
        <v>0</v>
      </c>
      <c r="X99" s="207">
        <f>[1]!'ai[95].EN'</f>
        <v>0</v>
      </c>
      <c r="Y99" s="207">
        <f>[1]!'ai[95].i'</f>
        <v>0</v>
      </c>
      <c r="Z99" s="207">
        <f>[1]!'ai[95].isForce'</f>
        <v>0</v>
      </c>
      <c r="AA99" s="207" t="e">
        <f>[1]!'ai[95].vRaw'</f>
        <v>#REF!</v>
      </c>
      <c r="AB99" s="207">
        <f>[1]!'ai[95].isCorrect'</f>
        <v>0</v>
      </c>
      <c r="AC99" s="207" t="e">
        <f>[1]!'ai[95].vCorrect'</f>
        <v>#REF!</v>
      </c>
      <c r="AD99" s="207">
        <f>[1]!'ai[95].v'</f>
        <v>0</v>
      </c>
      <c r="AE99" s="207" t="e">
        <f>[1]!'ai[95].isCut'</f>
        <v>#REF!</v>
      </c>
      <c r="AF99" s="207" t="e">
        <f>[1]!'ai[95].vCut'</f>
        <v>#REF!</v>
      </c>
      <c r="AG99" s="208"/>
      <c r="AH99" s="207">
        <f>[1]!'ai[95].break.sgn'</f>
        <v>0</v>
      </c>
      <c r="AI99" s="208"/>
      <c r="AJ99" s="207">
        <f>[1]!'ai[95].ZL'</f>
        <v>0</v>
      </c>
      <c r="AK99" s="207">
        <f>[1]!'ai[95].ZH'</f>
        <v>0</v>
      </c>
      <c r="AL99" s="208"/>
      <c r="AM99" s="207">
        <f>[1]!'ai[95].RL.EN'</f>
        <v>0</v>
      </c>
      <c r="AN99" s="207">
        <f>[1]!'ai[95].RL.V'</f>
        <v>0</v>
      </c>
      <c r="AO99" s="207">
        <f>[1]!'ai[95].RL.fix'</f>
        <v>0</v>
      </c>
      <c r="AP99" s="208"/>
      <c r="AQ99" s="207">
        <f>[1]!'ai[95].RH.EN'</f>
        <v>0</v>
      </c>
      <c r="AR99" s="207">
        <f>[1]!'ai[95].RH.V'</f>
        <v>0</v>
      </c>
      <c r="AS99" s="207">
        <f>[1]!'ai[95].RH.fix'</f>
        <v>0</v>
      </c>
      <c r="AT99" s="208"/>
      <c r="AU99" s="207">
        <f>[1]!'ai[95].L.EN'</f>
        <v>0</v>
      </c>
      <c r="AV99" s="207">
        <f>[1]!'ai[95].L.V'</f>
        <v>0</v>
      </c>
      <c r="AW99" s="207">
        <f>[1]!'ai[95].L.fix'</f>
        <v>0</v>
      </c>
      <c r="AX99" s="208"/>
      <c r="AY99" s="207">
        <f>[1]!'ai[95].H.EN'</f>
        <v>0</v>
      </c>
      <c r="AZ99" s="207">
        <f>[1]!'ai[95].H.V'</f>
        <v>0</v>
      </c>
      <c r="BA99" s="207">
        <f>[1]!'ai[95].H.fix'</f>
        <v>0</v>
      </c>
      <c r="BB99" s="208"/>
      <c r="BC99" s="207">
        <f>[1]!'ai[95].LL.EN'</f>
        <v>0</v>
      </c>
      <c r="BD99" s="207">
        <f>[1]!'ai[95].LL.V'</f>
        <v>0</v>
      </c>
      <c r="BE99" s="207">
        <f>[1]!'ai[95].LL.fix'</f>
        <v>0</v>
      </c>
      <c r="BF99" s="208"/>
      <c r="BG99" s="207">
        <f>[1]!'ai[95].HH.EN'</f>
        <v>0</v>
      </c>
      <c r="BH99" s="207">
        <f>[1]!'ai[95].HH.V'</f>
        <v>0</v>
      </c>
      <c r="BI99" s="207">
        <f>[1]!'ai[95].HH.fix'</f>
        <v>0</v>
      </c>
      <c r="BJ99" s="210"/>
      <c r="BK99" s="207">
        <f>[1]!'ai[95].group'</f>
        <v>0</v>
      </c>
      <c r="BL99" s="207">
        <f>[1]!'ai[95].state'</f>
        <v>4</v>
      </c>
      <c r="BM99" s="207">
        <f>[1]!'ai[95].isInvScale'</f>
        <v>0</v>
      </c>
    </row>
    <row r="100" spans="1:65">
      <c r="A100" s="445" t="s">
        <v>36</v>
      </c>
      <c r="B100" s="446">
        <v>3</v>
      </c>
      <c r="C100" s="216">
        <v>0</v>
      </c>
      <c r="D100" s="216">
        <v>0</v>
      </c>
      <c r="E100" s="217" t="s">
        <v>364</v>
      </c>
      <c r="F100" s="217" t="s">
        <v>365</v>
      </c>
      <c r="G100" s="207">
        <f>[1]!'ai[96].ZL'</f>
        <v>0</v>
      </c>
      <c r="H100" s="207">
        <f>[1]!'ai[96].ZH'</f>
        <v>100</v>
      </c>
      <c r="I100" s="216" t="s">
        <v>366</v>
      </c>
      <c r="J100" s="207">
        <f>[1]!'ai[96].RL.V'</f>
        <v>30</v>
      </c>
      <c r="K100" s="207">
        <f>[1]!'ai[96].RH.V'</f>
        <v>50</v>
      </c>
      <c r="L100" s="207">
        <f>[1]!'ai[96].L.V'</f>
        <v>0</v>
      </c>
      <c r="M100" s="207">
        <f>[1]!'ai[96].H.V'</f>
        <v>0</v>
      </c>
      <c r="N100" s="207">
        <f>[1]!'ai[96].LL.V'</f>
        <v>0</v>
      </c>
      <c r="O100" s="207">
        <f>[1]!'ai[96].HH.V'</f>
        <v>0</v>
      </c>
      <c r="P100" s="218">
        <v>1</v>
      </c>
      <c r="Q100" s="219">
        <v>0</v>
      </c>
      <c r="R100" s="220"/>
      <c r="T100" s="207">
        <f>[1]!'ai[96].group'</f>
        <v>3</v>
      </c>
      <c r="X100" s="207">
        <f>[1]!'ai[96].EN'</f>
        <v>1</v>
      </c>
      <c r="Y100" s="207">
        <f>[1]!'ai[96].i'</f>
        <v>4.7111510000000002E-3</v>
      </c>
      <c r="Z100" s="207">
        <f>[1]!'ai[96].isForce'</f>
        <v>0</v>
      </c>
      <c r="AA100" s="207" t="e">
        <f>[1]!'ai[96].vRaw'</f>
        <v>#REF!</v>
      </c>
      <c r="AB100" s="207">
        <f>[1]!'ai[96].isCorrect'</f>
        <v>0</v>
      </c>
      <c r="AC100" s="207" t="e">
        <f>[1]!'ai[96].vCorrect'</f>
        <v>#REF!</v>
      </c>
      <c r="AD100" s="207">
        <f>[1]!'ai[96].v'</f>
        <v>0</v>
      </c>
      <c r="AE100" s="207" t="e">
        <f>[1]!'ai[96].isCut'</f>
        <v>#REF!</v>
      </c>
      <c r="AF100" s="207" t="e">
        <f>[1]!'ai[96].vCut'</f>
        <v>#REF!</v>
      </c>
      <c r="AG100" s="208"/>
      <c r="AH100" s="207">
        <f>[1]!'ai[96].break.sgn'</f>
        <v>1</v>
      </c>
      <c r="AI100" s="208"/>
      <c r="AJ100" s="207">
        <f>[1]!'ai[96].ZL'</f>
        <v>0</v>
      </c>
      <c r="AK100" s="207">
        <f>[1]!'ai[96].ZH'</f>
        <v>100</v>
      </c>
      <c r="AL100" s="208"/>
      <c r="AM100" s="207">
        <f>[1]!'ai[96].RL.EN'</f>
        <v>1</v>
      </c>
      <c r="AN100" s="207">
        <f>[1]!'ai[96].RL.V'</f>
        <v>30</v>
      </c>
      <c r="AO100" s="207">
        <f>[1]!'ai[96].RL.fix'</f>
        <v>0</v>
      </c>
      <c r="AP100" s="208"/>
      <c r="AQ100" s="207">
        <f>[1]!'ai[96].RH.EN'</f>
        <v>1</v>
      </c>
      <c r="AR100" s="207">
        <f>[1]!'ai[96].RH.V'</f>
        <v>50</v>
      </c>
      <c r="AS100" s="207">
        <f>[1]!'ai[96].RH.fix'</f>
        <v>0</v>
      </c>
      <c r="AT100" s="208"/>
      <c r="AU100" s="207">
        <f>[1]!'ai[96].L.EN'</f>
        <v>0</v>
      </c>
      <c r="AV100" s="207">
        <f>[1]!'ai[96].L.V'</f>
        <v>0</v>
      </c>
      <c r="AW100" s="207">
        <f>[1]!'ai[96].L.fix'</f>
        <v>0</v>
      </c>
      <c r="AX100" s="208"/>
      <c r="AY100" s="207">
        <f>[1]!'ai[96].H.EN'</f>
        <v>0</v>
      </c>
      <c r="AZ100" s="207">
        <f>[1]!'ai[96].H.V'</f>
        <v>0</v>
      </c>
      <c r="BA100" s="207">
        <f>[1]!'ai[96].H.fix'</f>
        <v>0</v>
      </c>
      <c r="BB100" s="208"/>
      <c r="BC100" s="207">
        <f>[1]!'ai[96].LL.EN'</f>
        <v>0</v>
      </c>
      <c r="BD100" s="207">
        <f>[1]!'ai[96].LL.V'</f>
        <v>0</v>
      </c>
      <c r="BE100" s="207">
        <f>[1]!'ai[96].LL.fix'</f>
        <v>0</v>
      </c>
      <c r="BF100" s="208"/>
      <c r="BG100" s="207">
        <f>[1]!'ai[96].HH.EN'</f>
        <v>0</v>
      </c>
      <c r="BH100" s="207">
        <f>[1]!'ai[96].HH.V'</f>
        <v>0</v>
      </c>
      <c r="BI100" s="207">
        <f>[1]!'ai[96].HH.fix'</f>
        <v>0</v>
      </c>
      <c r="BJ100" s="209"/>
      <c r="BK100" s="207">
        <f>[1]!'ai[96].group'</f>
        <v>3</v>
      </c>
      <c r="BL100" s="207">
        <f>[1]!'ai[96].state'</f>
        <v>4</v>
      </c>
      <c r="BM100" s="207">
        <f>[1]!'ai[96].isInvScale'</f>
        <v>0</v>
      </c>
    </row>
    <row r="101" spans="1:65">
      <c r="A101" s="445"/>
      <c r="B101" s="446"/>
      <c r="C101" s="221">
        <v>1</v>
      </c>
      <c r="D101" s="221">
        <v>1</v>
      </c>
      <c r="E101" s="222" t="s">
        <v>367</v>
      </c>
      <c r="F101" s="222" t="s">
        <v>368</v>
      </c>
      <c r="G101" s="207">
        <f>[1]!'ai[97].ZL'</f>
        <v>0</v>
      </c>
      <c r="H101" s="207">
        <f>[1]!'ai[97].ZH'</f>
        <v>60</v>
      </c>
      <c r="I101" s="221" t="s">
        <v>366</v>
      </c>
      <c r="J101" s="207">
        <f>[1]!'ai[97].RL.V'</f>
        <v>18</v>
      </c>
      <c r="K101" s="207">
        <f>[1]!'ai[97].RH.V'</f>
        <v>25</v>
      </c>
      <c r="L101" s="207">
        <f>[1]!'ai[97].L.V'</f>
        <v>0</v>
      </c>
      <c r="M101" s="207">
        <f>[1]!'ai[97].H.V'</f>
        <v>0</v>
      </c>
      <c r="N101" s="207">
        <f>[1]!'ai[97].LL.V'</f>
        <v>0</v>
      </c>
      <c r="O101" s="207">
        <f>[1]!'ai[97].HH.V'</f>
        <v>0</v>
      </c>
      <c r="P101" s="223">
        <v>1</v>
      </c>
      <c r="Q101" s="224">
        <v>0</v>
      </c>
      <c r="R101" s="184"/>
      <c r="T101" s="207">
        <f>[1]!'ai[97].group'</f>
        <v>3</v>
      </c>
      <c r="X101" s="207">
        <f>[1]!'ai[97].EN'</f>
        <v>1</v>
      </c>
      <c r="Y101" s="207">
        <f>[1]!'ai[97].i'</f>
        <v>4.397392E-3</v>
      </c>
      <c r="Z101" s="207">
        <f>[1]!'ai[97].isForce'</f>
        <v>0</v>
      </c>
      <c r="AA101" s="207" t="e">
        <f>[1]!'ai[97].vRaw'</f>
        <v>#REF!</v>
      </c>
      <c r="AB101" s="207">
        <f>[1]!'ai[97].isCorrect'</f>
        <v>0</v>
      </c>
      <c r="AC101" s="207" t="e">
        <f>[1]!'ai[97].vCorrect'</f>
        <v>#REF!</v>
      </c>
      <c r="AD101" s="207">
        <f>[1]!'ai[97].v'</f>
        <v>0</v>
      </c>
      <c r="AE101" s="207" t="e">
        <f>[1]!'ai[97].isCut'</f>
        <v>#REF!</v>
      </c>
      <c r="AF101" s="207" t="e">
        <f>[1]!'ai[97].vCut'</f>
        <v>#REF!</v>
      </c>
      <c r="AG101" s="208"/>
      <c r="AH101" s="207">
        <f>[1]!'ai[97].break.sgn'</f>
        <v>1</v>
      </c>
      <c r="AI101" s="208"/>
      <c r="AJ101" s="207">
        <f>[1]!'ai[97].ZL'</f>
        <v>0</v>
      </c>
      <c r="AK101" s="207">
        <f>[1]!'ai[97].ZH'</f>
        <v>60</v>
      </c>
      <c r="AL101" s="208"/>
      <c r="AM101" s="207">
        <f>[1]!'ai[97].RL.EN'</f>
        <v>1</v>
      </c>
      <c r="AN101" s="207">
        <f>[1]!'ai[97].RL.V'</f>
        <v>18</v>
      </c>
      <c r="AO101" s="207">
        <f>[1]!'ai[97].RL.fix'</f>
        <v>0</v>
      </c>
      <c r="AP101" s="208"/>
      <c r="AQ101" s="207">
        <f>[1]!'ai[97].RH.EN'</f>
        <v>1</v>
      </c>
      <c r="AR101" s="207">
        <f>[1]!'ai[97].RH.V'</f>
        <v>25</v>
      </c>
      <c r="AS101" s="207">
        <f>[1]!'ai[97].RH.fix'</f>
        <v>0</v>
      </c>
      <c r="AT101" s="208"/>
      <c r="AU101" s="207">
        <f>[1]!'ai[97].L.EN'</f>
        <v>0</v>
      </c>
      <c r="AV101" s="207">
        <f>[1]!'ai[97].L.V'</f>
        <v>0</v>
      </c>
      <c r="AW101" s="207">
        <f>[1]!'ai[97].L.fix'</f>
        <v>0</v>
      </c>
      <c r="AX101" s="208"/>
      <c r="AY101" s="207">
        <f>[1]!'ai[97].H.EN'</f>
        <v>0</v>
      </c>
      <c r="AZ101" s="207">
        <f>[1]!'ai[97].H.V'</f>
        <v>0</v>
      </c>
      <c r="BA101" s="207">
        <f>[1]!'ai[97].H.fix'</f>
        <v>0</v>
      </c>
      <c r="BB101" s="208"/>
      <c r="BC101" s="207">
        <f>[1]!'ai[97].LL.EN'</f>
        <v>0</v>
      </c>
      <c r="BD101" s="207">
        <f>[1]!'ai[97].LL.V'</f>
        <v>0</v>
      </c>
      <c r="BE101" s="207">
        <f>[1]!'ai[97].LL.fix'</f>
        <v>0</v>
      </c>
      <c r="BF101" s="208"/>
      <c r="BG101" s="207">
        <f>[1]!'ai[97].HH.EN'</f>
        <v>0</v>
      </c>
      <c r="BH101" s="207">
        <f>[1]!'ai[97].HH.V'</f>
        <v>0</v>
      </c>
      <c r="BI101" s="207">
        <f>[1]!'ai[97].HH.fix'</f>
        <v>0</v>
      </c>
      <c r="BJ101" s="209"/>
      <c r="BK101" s="207">
        <f>[1]!'ai[97].group'</f>
        <v>3</v>
      </c>
      <c r="BL101" s="207">
        <f>[1]!'ai[97].state'</f>
        <v>4</v>
      </c>
      <c r="BM101" s="207">
        <f>[1]!'ai[97].isInvScale'</f>
        <v>0</v>
      </c>
    </row>
    <row r="102" spans="1:65">
      <c r="A102" s="445"/>
      <c r="B102" s="446"/>
      <c r="C102" s="221">
        <v>2</v>
      </c>
      <c r="D102" s="221">
        <v>2</v>
      </c>
      <c r="E102" s="222" t="s">
        <v>369</v>
      </c>
      <c r="F102" s="222" t="s">
        <v>370</v>
      </c>
      <c r="G102" s="207">
        <f>[1]!'ai[98].ZL'</f>
        <v>0</v>
      </c>
      <c r="H102" s="207">
        <f>[1]!'ai[98].ZH'</f>
        <v>400</v>
      </c>
      <c r="I102" s="221" t="s">
        <v>366</v>
      </c>
      <c r="J102" s="207">
        <f>[1]!'ai[98].RL.V'</f>
        <v>30</v>
      </c>
      <c r="K102" s="207">
        <f>[1]!'ai[98].RH.V'</f>
        <v>100</v>
      </c>
      <c r="L102" s="207">
        <f>[1]!'ai[98].L.V'</f>
        <v>0</v>
      </c>
      <c r="M102" s="207">
        <f>[1]!'ai[98].H.V'</f>
        <v>0</v>
      </c>
      <c r="N102" s="207">
        <f>[1]!'ai[98].LL.V'</f>
        <v>0</v>
      </c>
      <c r="O102" s="207">
        <f>[1]!'ai[98].HH.V'</f>
        <v>0</v>
      </c>
      <c r="P102" s="223">
        <v>1</v>
      </c>
      <c r="Q102" s="224">
        <v>0</v>
      </c>
      <c r="R102" s="184"/>
      <c r="T102" s="207">
        <f>[1]!'ai[98].group'</f>
        <v>3</v>
      </c>
      <c r="X102" s="207">
        <f>[1]!'ai[98].EN'</f>
        <v>1</v>
      </c>
      <c r="Y102" s="207">
        <f>[1]!'ai[98].i'</f>
        <v>4.397392E-3</v>
      </c>
      <c r="Z102" s="207">
        <f>[1]!'ai[98].isForce'</f>
        <v>0</v>
      </c>
      <c r="AA102" s="207" t="e">
        <f>[1]!'ai[98].vRaw'</f>
        <v>#REF!</v>
      </c>
      <c r="AB102" s="207">
        <f>[1]!'ai[98].isCorrect'</f>
        <v>0</v>
      </c>
      <c r="AC102" s="207" t="e">
        <f>[1]!'ai[98].vCorrect'</f>
        <v>#REF!</v>
      </c>
      <c r="AD102" s="207">
        <f>[1]!'ai[98].v'</f>
        <v>0</v>
      </c>
      <c r="AE102" s="207" t="e">
        <f>[1]!'ai[98].isCut'</f>
        <v>#REF!</v>
      </c>
      <c r="AF102" s="207" t="e">
        <f>[1]!'ai[98].vCut'</f>
        <v>#REF!</v>
      </c>
      <c r="AG102" s="208"/>
      <c r="AH102" s="207">
        <f>[1]!'ai[98].break.sgn'</f>
        <v>1</v>
      </c>
      <c r="AI102" s="208"/>
      <c r="AJ102" s="207">
        <f>[1]!'ai[98].ZL'</f>
        <v>0</v>
      </c>
      <c r="AK102" s="207">
        <f>[1]!'ai[98].ZH'</f>
        <v>400</v>
      </c>
      <c r="AL102" s="208"/>
      <c r="AM102" s="207">
        <f>[1]!'ai[98].RL.EN'</f>
        <v>1</v>
      </c>
      <c r="AN102" s="207">
        <f>[1]!'ai[98].RL.V'</f>
        <v>30</v>
      </c>
      <c r="AO102" s="207">
        <f>[1]!'ai[98].RL.fix'</f>
        <v>0</v>
      </c>
      <c r="AP102" s="208"/>
      <c r="AQ102" s="207">
        <f>[1]!'ai[98].RH.EN'</f>
        <v>1</v>
      </c>
      <c r="AR102" s="207">
        <f>[1]!'ai[98].RH.V'</f>
        <v>100</v>
      </c>
      <c r="AS102" s="207">
        <f>[1]!'ai[98].RH.fix'</f>
        <v>0</v>
      </c>
      <c r="AT102" s="208"/>
      <c r="AU102" s="207">
        <f>[1]!'ai[98].L.EN'</f>
        <v>0</v>
      </c>
      <c r="AV102" s="207">
        <f>[1]!'ai[98].L.V'</f>
        <v>0</v>
      </c>
      <c r="AW102" s="207">
        <f>[1]!'ai[98].L.fix'</f>
        <v>0</v>
      </c>
      <c r="AX102" s="208"/>
      <c r="AY102" s="207">
        <f>[1]!'ai[98].H.EN'</f>
        <v>0</v>
      </c>
      <c r="AZ102" s="207">
        <f>[1]!'ai[98].H.V'</f>
        <v>0</v>
      </c>
      <c r="BA102" s="207">
        <f>[1]!'ai[98].H.fix'</f>
        <v>0</v>
      </c>
      <c r="BB102" s="208"/>
      <c r="BC102" s="207">
        <f>[1]!'ai[98].LL.EN'</f>
        <v>0</v>
      </c>
      <c r="BD102" s="207">
        <f>[1]!'ai[98].LL.V'</f>
        <v>0</v>
      </c>
      <c r="BE102" s="207">
        <f>[1]!'ai[98].LL.fix'</f>
        <v>0</v>
      </c>
      <c r="BF102" s="208"/>
      <c r="BG102" s="207">
        <f>[1]!'ai[98].HH.EN'</f>
        <v>0</v>
      </c>
      <c r="BH102" s="207">
        <f>[1]!'ai[98].HH.V'</f>
        <v>0</v>
      </c>
      <c r="BI102" s="207">
        <f>[1]!'ai[98].HH.fix'</f>
        <v>0</v>
      </c>
      <c r="BJ102" s="209"/>
      <c r="BK102" s="207">
        <f>[1]!'ai[98].group'</f>
        <v>3</v>
      </c>
      <c r="BL102" s="207">
        <f>[1]!'ai[98].state'</f>
        <v>4</v>
      </c>
      <c r="BM102" s="207">
        <f>[1]!'ai[98].isInvScale'</f>
        <v>0</v>
      </c>
    </row>
    <row r="103" spans="1:65">
      <c r="A103" s="445"/>
      <c r="B103" s="446"/>
      <c r="C103" s="221">
        <v>3</v>
      </c>
      <c r="D103" s="221">
        <v>3</v>
      </c>
      <c r="E103" s="222" t="s">
        <v>371</v>
      </c>
      <c r="F103" s="222" t="s">
        <v>372</v>
      </c>
      <c r="G103" s="207">
        <f>[1]!'ai[99].ZL'</f>
        <v>0</v>
      </c>
      <c r="H103" s="207">
        <f>[1]!'ai[99].ZH'</f>
        <v>100</v>
      </c>
      <c r="I103" s="221" t="s">
        <v>366</v>
      </c>
      <c r="J103" s="207">
        <f>[1]!'ai[99].RL.V'</f>
        <v>15</v>
      </c>
      <c r="K103" s="207">
        <f>[1]!'ai[99].RH.V'</f>
        <v>40</v>
      </c>
      <c r="L103" s="207">
        <f>[1]!'ai[99].L.V'</f>
        <v>10</v>
      </c>
      <c r="M103" s="207">
        <f>[1]!'ai[99].H.V'</f>
        <v>55</v>
      </c>
      <c r="N103" s="207">
        <f>[1]!'ai[99].LL.V'</f>
        <v>0</v>
      </c>
      <c r="O103" s="207">
        <f>[1]!'ai[99].HH.V'</f>
        <v>0</v>
      </c>
      <c r="P103" s="223">
        <v>1</v>
      </c>
      <c r="Q103" s="224">
        <v>0</v>
      </c>
      <c r="R103" s="184"/>
      <c r="T103" s="207">
        <f>[1]!'ai[99].group'</f>
        <v>3</v>
      </c>
      <c r="X103" s="207">
        <f>[1]!'ai[99].EN'</f>
        <v>1</v>
      </c>
      <c r="Y103" s="207">
        <f>[1]!'ai[99].i'</f>
        <v>4.0140690000000001</v>
      </c>
      <c r="Z103" s="207">
        <f>[1]!'ai[99].isForce'</f>
        <v>0</v>
      </c>
      <c r="AA103" s="207" t="e">
        <f>[1]!'ai[99].vRaw'</f>
        <v>#REF!</v>
      </c>
      <c r="AB103" s="207">
        <f>[1]!'ai[99].isCorrect'</f>
        <v>0</v>
      </c>
      <c r="AC103" s="207" t="e">
        <f>[1]!'ai[99].vCorrect'</f>
        <v>#REF!</v>
      </c>
      <c r="AD103" s="207">
        <f>[1]!'ai[99].v'</f>
        <v>0</v>
      </c>
      <c r="AE103" s="207" t="e">
        <f>[1]!'ai[99].isCut'</f>
        <v>#REF!</v>
      </c>
      <c r="AF103" s="207" t="e">
        <f>[1]!'ai[99].vCut'</f>
        <v>#REF!</v>
      </c>
      <c r="AG103" s="208"/>
      <c r="AH103" s="207">
        <f>[1]!'ai[99].break.sgn'</f>
        <v>0</v>
      </c>
      <c r="AI103" s="208"/>
      <c r="AJ103" s="207">
        <f>[1]!'ai[99].ZL'</f>
        <v>0</v>
      </c>
      <c r="AK103" s="207">
        <f>[1]!'ai[99].ZH'</f>
        <v>100</v>
      </c>
      <c r="AL103" s="208"/>
      <c r="AM103" s="207">
        <f>[1]!'ai[99].RL.EN'</f>
        <v>1</v>
      </c>
      <c r="AN103" s="207">
        <f>[1]!'ai[99].RL.V'</f>
        <v>15</v>
      </c>
      <c r="AO103" s="207">
        <f>[1]!'ai[99].RL.fix'</f>
        <v>1</v>
      </c>
      <c r="AP103" s="208"/>
      <c r="AQ103" s="207">
        <f>[1]!'ai[99].RH.EN'</f>
        <v>1</v>
      </c>
      <c r="AR103" s="207">
        <f>[1]!'ai[99].RH.V'</f>
        <v>40</v>
      </c>
      <c r="AS103" s="207">
        <f>[1]!'ai[99].RH.fix'</f>
        <v>0</v>
      </c>
      <c r="AT103" s="208"/>
      <c r="AU103" s="207">
        <f>[1]!'ai[99].L.EN'</f>
        <v>1</v>
      </c>
      <c r="AV103" s="207">
        <f>[1]!'ai[99].L.V'</f>
        <v>10</v>
      </c>
      <c r="AW103" s="207">
        <f>[1]!'ai[99].L.fix'</f>
        <v>1</v>
      </c>
      <c r="AX103" s="208"/>
      <c r="AY103" s="207">
        <f>[1]!'ai[99].H.EN'</f>
        <v>1</v>
      </c>
      <c r="AZ103" s="207">
        <f>[1]!'ai[99].H.V'</f>
        <v>55</v>
      </c>
      <c r="BA103" s="207">
        <f>[1]!'ai[99].H.fix'</f>
        <v>0</v>
      </c>
      <c r="BB103" s="208"/>
      <c r="BC103" s="207">
        <f>[1]!'ai[99].LL.EN'</f>
        <v>0</v>
      </c>
      <c r="BD103" s="207">
        <f>[1]!'ai[99].LL.V'</f>
        <v>0</v>
      </c>
      <c r="BE103" s="207">
        <f>[1]!'ai[99].LL.fix'</f>
        <v>0</v>
      </c>
      <c r="BF103" s="208"/>
      <c r="BG103" s="207">
        <f>[1]!'ai[99].HH.EN'</f>
        <v>0</v>
      </c>
      <c r="BH103" s="207">
        <f>[1]!'ai[99].HH.V'</f>
        <v>0</v>
      </c>
      <c r="BI103" s="207">
        <f>[1]!'ai[99].HH.fix'</f>
        <v>0</v>
      </c>
      <c r="BJ103" s="209"/>
      <c r="BK103" s="207">
        <f>[1]!'ai[99].group'</f>
        <v>3</v>
      </c>
      <c r="BL103" s="207">
        <f>[1]!'ai[99].state'</f>
        <v>2</v>
      </c>
      <c r="BM103" s="207">
        <f>[1]!'ai[99].isInvScale'</f>
        <v>0</v>
      </c>
    </row>
    <row r="104" spans="1:65">
      <c r="A104" s="445"/>
      <c r="B104" s="446"/>
      <c r="C104" s="221">
        <v>4</v>
      </c>
      <c r="D104" s="221">
        <v>4</v>
      </c>
      <c r="E104" s="222" t="s">
        <v>373</v>
      </c>
      <c r="F104" s="222" t="s">
        <v>374</v>
      </c>
      <c r="G104" s="207">
        <f>[1]!'ai[100].ZL'</f>
        <v>0</v>
      </c>
      <c r="H104" s="207">
        <f>[1]!'ai[100].ZH'</f>
        <v>100</v>
      </c>
      <c r="I104" s="221" t="s">
        <v>366</v>
      </c>
      <c r="J104" s="207">
        <f>[1]!'ai[100].RL.V'</f>
        <v>10</v>
      </c>
      <c r="K104" s="207">
        <f>[1]!'ai[100].RH.V'</f>
        <v>60</v>
      </c>
      <c r="L104" s="207">
        <f>[1]!'ai[100].L.V'</f>
        <v>10</v>
      </c>
      <c r="M104" s="207">
        <f>[1]!'ai[100].H.V'</f>
        <v>60</v>
      </c>
      <c r="N104" s="207">
        <f>[1]!'ai[100].LL.V'</f>
        <v>0</v>
      </c>
      <c r="O104" s="207">
        <f>[1]!'ai[100].HH.V'</f>
        <v>0</v>
      </c>
      <c r="P104" s="223">
        <v>1</v>
      </c>
      <c r="Q104" s="224">
        <v>0</v>
      </c>
      <c r="R104" s="184"/>
      <c r="T104" s="207">
        <f>[1]!'ai[100].group'</f>
        <v>3</v>
      </c>
      <c r="X104" s="207">
        <f>[1]!'ai[100].EN'</f>
        <v>1</v>
      </c>
      <c r="Y104" s="207">
        <f>[1]!'ai[100].i'</f>
        <v>4.0090450000000004</v>
      </c>
      <c r="Z104" s="207">
        <f>[1]!'ai[100].isForce'</f>
        <v>0</v>
      </c>
      <c r="AA104" s="207" t="e">
        <f>[1]!'ai[100].vRaw'</f>
        <v>#REF!</v>
      </c>
      <c r="AB104" s="207">
        <f>[1]!'ai[100].isCorrect'</f>
        <v>0</v>
      </c>
      <c r="AC104" s="207" t="e">
        <f>[1]!'ai[100].vCorrect'</f>
        <v>#REF!</v>
      </c>
      <c r="AD104" s="207">
        <f>[1]!'ai[100].v'</f>
        <v>0</v>
      </c>
      <c r="AE104" s="207" t="e">
        <f>[1]!'ai[100].isCut'</f>
        <v>#REF!</v>
      </c>
      <c r="AF104" s="207" t="e">
        <f>[1]!'ai[100].vCut'</f>
        <v>#REF!</v>
      </c>
      <c r="AG104" s="208"/>
      <c r="AH104" s="207">
        <f>[1]!'ai[100].break.sgn'</f>
        <v>0</v>
      </c>
      <c r="AI104" s="208"/>
      <c r="AJ104" s="207">
        <f>[1]!'ai[100].ZL'</f>
        <v>0</v>
      </c>
      <c r="AK104" s="207">
        <f>[1]!'ai[100].ZH'</f>
        <v>100</v>
      </c>
      <c r="AL104" s="208"/>
      <c r="AM104" s="207">
        <f>[1]!'ai[100].RL.EN'</f>
        <v>1</v>
      </c>
      <c r="AN104" s="207">
        <f>[1]!'ai[100].RL.V'</f>
        <v>10</v>
      </c>
      <c r="AO104" s="207">
        <f>[1]!'ai[100].RL.fix'</f>
        <v>1</v>
      </c>
      <c r="AP104" s="208"/>
      <c r="AQ104" s="207">
        <f>[1]!'ai[100].RH.EN'</f>
        <v>1</v>
      </c>
      <c r="AR104" s="207">
        <f>[1]!'ai[100].RH.V'</f>
        <v>60</v>
      </c>
      <c r="AS104" s="207">
        <f>[1]!'ai[100].RH.fix'</f>
        <v>0</v>
      </c>
      <c r="AT104" s="208"/>
      <c r="AU104" s="207">
        <f>[1]!'ai[100].L.EN'</f>
        <v>1</v>
      </c>
      <c r="AV104" s="207">
        <f>[1]!'ai[100].L.V'</f>
        <v>10</v>
      </c>
      <c r="AW104" s="207">
        <f>[1]!'ai[100].L.fix'</f>
        <v>1</v>
      </c>
      <c r="AX104" s="208"/>
      <c r="AY104" s="207">
        <f>[1]!'ai[100].H.EN'</f>
        <v>1</v>
      </c>
      <c r="AZ104" s="207">
        <f>[1]!'ai[100].H.V'</f>
        <v>60</v>
      </c>
      <c r="BA104" s="207">
        <f>[1]!'ai[100].H.fix'</f>
        <v>0</v>
      </c>
      <c r="BB104" s="208"/>
      <c r="BC104" s="207">
        <f>[1]!'ai[100].LL.EN'</f>
        <v>0</v>
      </c>
      <c r="BD104" s="207">
        <f>[1]!'ai[100].LL.V'</f>
        <v>0</v>
      </c>
      <c r="BE104" s="207">
        <f>[1]!'ai[100].LL.fix'</f>
        <v>0</v>
      </c>
      <c r="BF104" s="208"/>
      <c r="BG104" s="207">
        <f>[1]!'ai[100].HH.EN'</f>
        <v>0</v>
      </c>
      <c r="BH104" s="207">
        <f>[1]!'ai[100].HH.V'</f>
        <v>0</v>
      </c>
      <c r="BI104" s="207">
        <f>[1]!'ai[100].HH.fix'</f>
        <v>0</v>
      </c>
      <c r="BJ104" s="210"/>
      <c r="BK104" s="207">
        <f>[1]!'ai[100].group'</f>
        <v>3</v>
      </c>
      <c r="BL104" s="207">
        <f>[1]!'ai[100].state'</f>
        <v>2</v>
      </c>
      <c r="BM104" s="207">
        <f>[1]!'ai[100].isInvScale'</f>
        <v>0</v>
      </c>
    </row>
    <row r="105" spans="1:65">
      <c r="A105" s="445"/>
      <c r="B105" s="446"/>
      <c r="C105" s="221">
        <v>5</v>
      </c>
      <c r="D105" s="221">
        <v>5</v>
      </c>
      <c r="E105" s="222" t="s">
        <v>375</v>
      </c>
      <c r="F105" s="222" t="s">
        <v>376</v>
      </c>
      <c r="G105" s="207">
        <f>[1]!'ai[101].ZL'</f>
        <v>0</v>
      </c>
      <c r="H105" s="207">
        <f>[1]!'ai[101].ZH'</f>
        <v>75</v>
      </c>
      <c r="I105" s="221" t="s">
        <v>366</v>
      </c>
      <c r="J105" s="207">
        <f>[1]!'ai[101].RL.V'</f>
        <v>27</v>
      </c>
      <c r="K105" s="207">
        <f>[1]!'ai[101].RH.V'</f>
        <v>60</v>
      </c>
      <c r="L105" s="207">
        <f>[1]!'ai[101].L.V'</f>
        <v>0</v>
      </c>
      <c r="M105" s="207">
        <f>[1]!'ai[101].H.V'</f>
        <v>0</v>
      </c>
      <c r="N105" s="207">
        <f>[1]!'ai[101].LL.V'</f>
        <v>0</v>
      </c>
      <c r="O105" s="207">
        <f>[1]!'ai[101].HH.V'</f>
        <v>0</v>
      </c>
      <c r="P105" s="223">
        <v>1</v>
      </c>
      <c r="Q105" s="224">
        <v>0</v>
      </c>
      <c r="R105" s="184"/>
      <c r="T105" s="207">
        <f>[1]!'ai[101].group'</f>
        <v>3</v>
      </c>
      <c r="X105" s="207">
        <f>[1]!'ai[101].EN'</f>
        <v>1</v>
      </c>
      <c r="Y105" s="207">
        <f>[1]!'ai[101].i'</f>
        <v>3.1404499999999999E-3</v>
      </c>
      <c r="Z105" s="207">
        <f>[1]!'ai[101].isForce'</f>
        <v>0</v>
      </c>
      <c r="AA105" s="207" t="e">
        <f>[1]!'ai[101].vRaw'</f>
        <v>#REF!</v>
      </c>
      <c r="AB105" s="207">
        <f>[1]!'ai[101].isCorrect'</f>
        <v>0</v>
      </c>
      <c r="AC105" s="207" t="e">
        <f>[1]!'ai[101].vCorrect'</f>
        <v>#REF!</v>
      </c>
      <c r="AD105" s="207">
        <f>[1]!'ai[101].v'</f>
        <v>0</v>
      </c>
      <c r="AE105" s="207" t="e">
        <f>[1]!'ai[101].isCut'</f>
        <v>#REF!</v>
      </c>
      <c r="AF105" s="207" t="e">
        <f>[1]!'ai[101].vCut'</f>
        <v>#REF!</v>
      </c>
      <c r="AG105" s="208"/>
      <c r="AH105" s="207">
        <f>[1]!'ai[101].break.sgn'</f>
        <v>1</v>
      </c>
      <c r="AI105" s="208"/>
      <c r="AJ105" s="207">
        <f>[1]!'ai[101].ZL'</f>
        <v>0</v>
      </c>
      <c r="AK105" s="207">
        <f>[1]!'ai[101].ZH'</f>
        <v>75</v>
      </c>
      <c r="AL105" s="208"/>
      <c r="AM105" s="207">
        <f>[1]!'ai[101].RL.EN'</f>
        <v>1</v>
      </c>
      <c r="AN105" s="207">
        <f>[1]!'ai[101].RL.V'</f>
        <v>27</v>
      </c>
      <c r="AO105" s="207">
        <f>[1]!'ai[101].RL.fix'</f>
        <v>0</v>
      </c>
      <c r="AP105" s="208"/>
      <c r="AQ105" s="207">
        <f>[1]!'ai[101].RH.EN'</f>
        <v>1</v>
      </c>
      <c r="AR105" s="207">
        <f>[1]!'ai[101].RH.V'</f>
        <v>60</v>
      </c>
      <c r="AS105" s="207">
        <f>[1]!'ai[101].RH.fix'</f>
        <v>0</v>
      </c>
      <c r="AT105" s="208"/>
      <c r="AU105" s="207">
        <f>[1]!'ai[101].L.EN'</f>
        <v>0</v>
      </c>
      <c r="AV105" s="207">
        <f>[1]!'ai[101].L.V'</f>
        <v>0</v>
      </c>
      <c r="AW105" s="207">
        <f>[1]!'ai[101].L.fix'</f>
        <v>0</v>
      </c>
      <c r="AX105" s="208"/>
      <c r="AY105" s="207">
        <f>[1]!'ai[101].H.EN'</f>
        <v>0</v>
      </c>
      <c r="AZ105" s="207">
        <f>[1]!'ai[101].H.V'</f>
        <v>0</v>
      </c>
      <c r="BA105" s="207">
        <f>[1]!'ai[101].H.fix'</f>
        <v>0</v>
      </c>
      <c r="BB105" s="208"/>
      <c r="BC105" s="207">
        <f>[1]!'ai[101].LL.EN'</f>
        <v>0</v>
      </c>
      <c r="BD105" s="207">
        <f>[1]!'ai[101].LL.V'</f>
        <v>0</v>
      </c>
      <c r="BE105" s="207">
        <f>[1]!'ai[101].LL.fix'</f>
        <v>0</v>
      </c>
      <c r="BF105" s="208"/>
      <c r="BG105" s="207">
        <f>[1]!'ai[101].HH.EN'</f>
        <v>0</v>
      </c>
      <c r="BH105" s="207">
        <f>[1]!'ai[101].HH.V'</f>
        <v>0</v>
      </c>
      <c r="BI105" s="207">
        <f>[1]!'ai[101].HH.fix'</f>
        <v>0</v>
      </c>
      <c r="BJ105" s="210"/>
      <c r="BK105" s="207">
        <f>[1]!'ai[101].group'</f>
        <v>3</v>
      </c>
      <c r="BL105" s="207">
        <f>[1]!'ai[101].state'</f>
        <v>4</v>
      </c>
      <c r="BM105" s="207">
        <f>[1]!'ai[101].isInvScale'</f>
        <v>0</v>
      </c>
    </row>
    <row r="106" spans="1:65">
      <c r="A106" s="445"/>
      <c r="B106" s="446"/>
      <c r="C106" s="221">
        <v>6</v>
      </c>
      <c r="D106" s="221">
        <v>6</v>
      </c>
      <c r="E106" s="222" t="s">
        <v>377</v>
      </c>
      <c r="F106" s="222" t="s">
        <v>378</v>
      </c>
      <c r="G106" s="207">
        <f>[1]!'ai[102].ZL'</f>
        <v>0</v>
      </c>
      <c r="H106" s="207">
        <f>[1]!'ai[102].ZH'</f>
        <v>2000</v>
      </c>
      <c r="I106" s="221" t="s">
        <v>366</v>
      </c>
      <c r="J106" s="207">
        <f>[1]!'ai[102].RL.V'</f>
        <v>0</v>
      </c>
      <c r="K106" s="207">
        <f>[1]!'ai[102].RH.V'</f>
        <v>1630</v>
      </c>
      <c r="L106" s="207">
        <f>[1]!'ai[102].L.V'</f>
        <v>0</v>
      </c>
      <c r="M106" s="207">
        <f>[1]!'ai[102].H.V'</f>
        <v>0</v>
      </c>
      <c r="N106" s="207">
        <f>[1]!'ai[102].LL.V'</f>
        <v>0</v>
      </c>
      <c r="O106" s="207">
        <f>[1]!'ai[102].HH.V'</f>
        <v>0</v>
      </c>
      <c r="P106" s="223">
        <v>1</v>
      </c>
      <c r="Q106" s="224">
        <v>0</v>
      </c>
      <c r="R106" s="184"/>
      <c r="T106" s="207">
        <f>[1]!'ai[102].group'</f>
        <v>3</v>
      </c>
      <c r="X106" s="207">
        <f>[1]!'ai[102].EN'</f>
        <v>1</v>
      </c>
      <c r="Y106" s="207">
        <f>[1]!'ai[102].i'</f>
        <v>3.1404499999999999E-3</v>
      </c>
      <c r="Z106" s="207">
        <f>[1]!'ai[102].isForce'</f>
        <v>0</v>
      </c>
      <c r="AA106" s="207" t="e">
        <f>[1]!'ai[102].vRaw'</f>
        <v>#REF!</v>
      </c>
      <c r="AB106" s="207">
        <f>[1]!'ai[102].isCorrect'</f>
        <v>0</v>
      </c>
      <c r="AC106" s="207" t="e">
        <f>[1]!'ai[102].vCorrect'</f>
        <v>#REF!</v>
      </c>
      <c r="AD106" s="207">
        <f>[1]!'ai[102].v'</f>
        <v>0</v>
      </c>
      <c r="AE106" s="207" t="e">
        <f>[1]!'ai[102].isCut'</f>
        <v>#REF!</v>
      </c>
      <c r="AF106" s="207" t="e">
        <f>[1]!'ai[102].vCut'</f>
        <v>#REF!</v>
      </c>
      <c r="AG106" s="208"/>
      <c r="AH106" s="207">
        <f>[1]!'ai[102].break.sgn'</f>
        <v>1</v>
      </c>
      <c r="AI106" s="208"/>
      <c r="AJ106" s="207">
        <f>[1]!'ai[102].ZL'</f>
        <v>0</v>
      </c>
      <c r="AK106" s="207">
        <f>[1]!'ai[102].ZH'</f>
        <v>2000</v>
      </c>
      <c r="AL106" s="208"/>
      <c r="AM106" s="207">
        <f>[1]!'ai[102].RL.EN'</f>
        <v>1</v>
      </c>
      <c r="AN106" s="207">
        <f>[1]!'ai[102].RL.V'</f>
        <v>0</v>
      </c>
      <c r="AO106" s="207">
        <f>[1]!'ai[102].RL.fix'</f>
        <v>0</v>
      </c>
      <c r="AP106" s="208"/>
      <c r="AQ106" s="207">
        <f>[1]!'ai[102].RH.EN'</f>
        <v>1</v>
      </c>
      <c r="AR106" s="207">
        <f>[1]!'ai[102].RH.V'</f>
        <v>1630</v>
      </c>
      <c r="AS106" s="207">
        <f>[1]!'ai[102].RH.fix'</f>
        <v>0</v>
      </c>
      <c r="AT106" s="208"/>
      <c r="AU106" s="207">
        <f>[1]!'ai[102].L.EN'</f>
        <v>0</v>
      </c>
      <c r="AV106" s="207">
        <f>[1]!'ai[102].L.V'</f>
        <v>0</v>
      </c>
      <c r="AW106" s="207">
        <f>[1]!'ai[102].L.fix'</f>
        <v>0</v>
      </c>
      <c r="AX106" s="208"/>
      <c r="AY106" s="207">
        <f>[1]!'ai[102].H.EN'</f>
        <v>0</v>
      </c>
      <c r="AZ106" s="207">
        <f>[1]!'ai[102].H.V'</f>
        <v>0</v>
      </c>
      <c r="BA106" s="207">
        <f>[1]!'ai[102].H.fix'</f>
        <v>0</v>
      </c>
      <c r="BB106" s="208"/>
      <c r="BC106" s="207">
        <f>[1]!'ai[102].LL.EN'</f>
        <v>0</v>
      </c>
      <c r="BD106" s="207">
        <f>[1]!'ai[102].LL.V'</f>
        <v>0</v>
      </c>
      <c r="BE106" s="207">
        <f>[1]!'ai[102].LL.fix'</f>
        <v>0</v>
      </c>
      <c r="BF106" s="208"/>
      <c r="BG106" s="207">
        <f>[1]!'ai[102].HH.EN'</f>
        <v>0</v>
      </c>
      <c r="BH106" s="207">
        <f>[1]!'ai[102].HH.V'</f>
        <v>0</v>
      </c>
      <c r="BI106" s="207">
        <f>[1]!'ai[102].HH.fix'</f>
        <v>0</v>
      </c>
      <c r="BJ106" s="210"/>
      <c r="BK106" s="207">
        <f>[1]!'ai[102].group'</f>
        <v>3</v>
      </c>
      <c r="BL106" s="207">
        <f>[1]!'ai[102].state'</f>
        <v>4</v>
      </c>
      <c r="BM106" s="207">
        <f>[1]!'ai[102].isInvScale'</f>
        <v>0</v>
      </c>
    </row>
    <row r="107" spans="1:65">
      <c r="A107" s="445"/>
      <c r="B107" s="446"/>
      <c r="C107" s="221">
        <v>7</v>
      </c>
      <c r="D107" s="221">
        <v>7</v>
      </c>
      <c r="E107" s="222" t="s">
        <v>379</v>
      </c>
      <c r="F107" s="222" t="s">
        <v>380</v>
      </c>
      <c r="G107" s="207">
        <f>[1]!'ai[103].ZL'</f>
        <v>0</v>
      </c>
      <c r="H107" s="207">
        <f>[1]!'ai[103].ZH'</f>
        <v>300</v>
      </c>
      <c r="I107" s="221" t="s">
        <v>366</v>
      </c>
      <c r="J107" s="207">
        <f>[1]!'ai[103].RL.V'</f>
        <v>0</v>
      </c>
      <c r="K107" s="207">
        <f>[1]!'ai[103].RH.V'</f>
        <v>240</v>
      </c>
      <c r="L107" s="207">
        <f>[1]!'ai[103].L.V'</f>
        <v>0</v>
      </c>
      <c r="M107" s="207">
        <f>[1]!'ai[103].H.V'</f>
        <v>170</v>
      </c>
      <c r="N107" s="207">
        <f>[1]!'ai[103].LL.V'</f>
        <v>0</v>
      </c>
      <c r="O107" s="207">
        <f>[1]!'ai[103].HH.V'</f>
        <v>240</v>
      </c>
      <c r="P107" s="223">
        <v>1</v>
      </c>
      <c r="Q107" s="224">
        <v>0</v>
      </c>
      <c r="R107" s="184"/>
      <c r="T107" s="207">
        <f>[1]!'ai[103].group'</f>
        <v>3</v>
      </c>
      <c r="X107" s="207">
        <f>[1]!'ai[103].EN'</f>
        <v>1</v>
      </c>
      <c r="Y107" s="207">
        <f>[1]!'ai[103].i'</f>
        <v>3.1404499999999999E-3</v>
      </c>
      <c r="Z107" s="207">
        <f>[1]!'ai[103].isForce'</f>
        <v>0</v>
      </c>
      <c r="AA107" s="207" t="e">
        <f>[1]!'ai[103].vRaw'</f>
        <v>#REF!</v>
      </c>
      <c r="AB107" s="207">
        <f>[1]!'ai[103].isCorrect'</f>
        <v>0</v>
      </c>
      <c r="AC107" s="207" t="e">
        <f>[1]!'ai[103].vCorrect'</f>
        <v>#REF!</v>
      </c>
      <c r="AD107" s="207">
        <f>[1]!'ai[103].v'</f>
        <v>0</v>
      </c>
      <c r="AE107" s="207" t="e">
        <f>[1]!'ai[103].isCut'</f>
        <v>#REF!</v>
      </c>
      <c r="AF107" s="207" t="e">
        <f>[1]!'ai[103].vCut'</f>
        <v>#REF!</v>
      </c>
      <c r="AG107" s="208"/>
      <c r="AH107" s="207">
        <f>[1]!'ai[103].break.sgn'</f>
        <v>1</v>
      </c>
      <c r="AI107" s="208"/>
      <c r="AJ107" s="207">
        <f>[1]!'ai[103].ZL'</f>
        <v>0</v>
      </c>
      <c r="AK107" s="207">
        <f>[1]!'ai[103].ZH'</f>
        <v>300</v>
      </c>
      <c r="AL107" s="208"/>
      <c r="AM107" s="207">
        <f>[1]!'ai[103].RL.EN'</f>
        <v>1</v>
      </c>
      <c r="AN107" s="207">
        <f>[1]!'ai[103].RL.V'</f>
        <v>0</v>
      </c>
      <c r="AO107" s="207">
        <f>[1]!'ai[103].RL.fix'</f>
        <v>0</v>
      </c>
      <c r="AP107" s="208"/>
      <c r="AQ107" s="207">
        <f>[1]!'ai[103].RH.EN'</f>
        <v>1</v>
      </c>
      <c r="AR107" s="207">
        <f>[1]!'ai[103].RH.V'</f>
        <v>240</v>
      </c>
      <c r="AS107" s="207">
        <f>[1]!'ai[103].RH.fix'</f>
        <v>0</v>
      </c>
      <c r="AT107" s="208"/>
      <c r="AU107" s="207">
        <f>[1]!'ai[103].L.EN'</f>
        <v>0</v>
      </c>
      <c r="AV107" s="207">
        <f>[1]!'ai[103].L.V'</f>
        <v>0</v>
      </c>
      <c r="AW107" s="207">
        <f>[1]!'ai[103].L.fix'</f>
        <v>0</v>
      </c>
      <c r="AX107" s="208"/>
      <c r="AY107" s="207">
        <f>[1]!'ai[103].H.EN'</f>
        <v>1</v>
      </c>
      <c r="AZ107" s="207">
        <f>[1]!'ai[103].H.V'</f>
        <v>170</v>
      </c>
      <c r="BA107" s="207">
        <f>[1]!'ai[103].H.fix'</f>
        <v>0</v>
      </c>
      <c r="BB107" s="208"/>
      <c r="BC107" s="207">
        <f>[1]!'ai[103].LL.EN'</f>
        <v>0</v>
      </c>
      <c r="BD107" s="207">
        <f>[1]!'ai[103].LL.V'</f>
        <v>0</v>
      </c>
      <c r="BE107" s="207">
        <f>[1]!'ai[103].LL.fix'</f>
        <v>0</v>
      </c>
      <c r="BF107" s="208"/>
      <c r="BG107" s="207">
        <f>[1]!'ai[103].HH.EN'</f>
        <v>1</v>
      </c>
      <c r="BH107" s="207">
        <f>[1]!'ai[103].HH.V'</f>
        <v>240</v>
      </c>
      <c r="BI107" s="207">
        <f>[1]!'ai[103].HH.fix'</f>
        <v>0</v>
      </c>
      <c r="BJ107" s="210"/>
      <c r="BK107" s="207">
        <f>[1]!'ai[103].group'</f>
        <v>3</v>
      </c>
      <c r="BL107" s="207">
        <f>[1]!'ai[103].state'</f>
        <v>4</v>
      </c>
      <c r="BM107" s="207">
        <f>[1]!'ai[103].isInvScale'</f>
        <v>0</v>
      </c>
    </row>
    <row r="108" spans="1:65">
      <c r="A108" s="445"/>
      <c r="B108" s="446"/>
      <c r="C108" s="221">
        <v>8</v>
      </c>
      <c r="D108" s="221">
        <v>8</v>
      </c>
      <c r="E108" s="222" t="s">
        <v>381</v>
      </c>
      <c r="F108" s="222" t="s">
        <v>382</v>
      </c>
      <c r="G108" s="207">
        <f>[1]!'ai[104].ZL'</f>
        <v>0</v>
      </c>
      <c r="H108" s="207">
        <f>[1]!'ai[104].ZH'</f>
        <v>300</v>
      </c>
      <c r="I108" s="221" t="s">
        <v>383</v>
      </c>
      <c r="J108" s="207">
        <f>[1]!'ai[104].RL.V'</f>
        <v>130</v>
      </c>
      <c r="K108" s="207">
        <f>[1]!'ai[104].RH.V'</f>
        <v>280</v>
      </c>
      <c r="L108" s="207">
        <f>[1]!'ai[104].L.V'</f>
        <v>0</v>
      </c>
      <c r="M108" s="207">
        <f>[1]!'ai[104].H.V'</f>
        <v>0</v>
      </c>
      <c r="N108" s="207">
        <f>[1]!'ai[104].LL.V'</f>
        <v>0</v>
      </c>
      <c r="O108" s="207">
        <f>[1]!'ai[104].HH.V'</f>
        <v>0</v>
      </c>
      <c r="P108" s="223">
        <v>1</v>
      </c>
      <c r="Q108" s="224"/>
      <c r="R108" s="184"/>
      <c r="T108" s="207">
        <f>[1]!'ai[104].group'</f>
        <v>3</v>
      </c>
      <c r="X108" s="207">
        <f>[1]!'ai[104].EN'</f>
        <v>1</v>
      </c>
      <c r="Y108" s="207">
        <f>[1]!'ai[104].i'</f>
        <v>2.198219E-3</v>
      </c>
      <c r="Z108" s="207">
        <f>[1]!'ai[104].isForce'</f>
        <v>0</v>
      </c>
      <c r="AA108" s="207" t="e">
        <f>[1]!'ai[104].vRaw'</f>
        <v>#REF!</v>
      </c>
      <c r="AB108" s="207">
        <f>[1]!'ai[104].isCorrect'</f>
        <v>0</v>
      </c>
      <c r="AC108" s="207" t="e">
        <f>[1]!'ai[104].vCorrect'</f>
        <v>#REF!</v>
      </c>
      <c r="AD108" s="207">
        <f>[1]!'ai[104].v'</f>
        <v>0</v>
      </c>
      <c r="AE108" s="207" t="e">
        <f>[1]!'ai[104].isCut'</f>
        <v>#REF!</v>
      </c>
      <c r="AF108" s="207" t="e">
        <f>[1]!'ai[104].vCut'</f>
        <v>#REF!</v>
      </c>
      <c r="AG108" s="208"/>
      <c r="AH108" s="207">
        <f>[1]!'ai[104].break.sgn'</f>
        <v>1</v>
      </c>
      <c r="AI108" s="208"/>
      <c r="AJ108" s="207">
        <f>[1]!'ai[104].ZL'</f>
        <v>0</v>
      </c>
      <c r="AK108" s="207">
        <f>[1]!'ai[104].ZH'</f>
        <v>300</v>
      </c>
      <c r="AL108" s="208"/>
      <c r="AM108" s="207">
        <f>[1]!'ai[104].RL.EN'</f>
        <v>1</v>
      </c>
      <c r="AN108" s="207">
        <f>[1]!'ai[104].RL.V'</f>
        <v>130</v>
      </c>
      <c r="AO108" s="207">
        <f>[1]!'ai[104].RL.fix'</f>
        <v>0</v>
      </c>
      <c r="AP108" s="208"/>
      <c r="AQ108" s="207">
        <f>[1]!'ai[104].RH.EN'</f>
        <v>1</v>
      </c>
      <c r="AR108" s="207">
        <f>[1]!'ai[104].RH.V'</f>
        <v>280</v>
      </c>
      <c r="AS108" s="207">
        <f>[1]!'ai[104].RH.fix'</f>
        <v>0</v>
      </c>
      <c r="AT108" s="208"/>
      <c r="AU108" s="207">
        <f>[1]!'ai[104].L.EN'</f>
        <v>0</v>
      </c>
      <c r="AV108" s="207">
        <f>[1]!'ai[104].L.V'</f>
        <v>0</v>
      </c>
      <c r="AW108" s="207">
        <f>[1]!'ai[104].L.fix'</f>
        <v>0</v>
      </c>
      <c r="AX108" s="208"/>
      <c r="AY108" s="207">
        <f>[1]!'ai[104].H.EN'</f>
        <v>0</v>
      </c>
      <c r="AZ108" s="207">
        <f>[1]!'ai[104].H.V'</f>
        <v>0</v>
      </c>
      <c r="BA108" s="207">
        <f>[1]!'ai[104].H.fix'</f>
        <v>0</v>
      </c>
      <c r="BB108" s="208"/>
      <c r="BC108" s="207">
        <f>[1]!'ai[104].LL.EN'</f>
        <v>0</v>
      </c>
      <c r="BD108" s="207">
        <f>[1]!'ai[104].LL.V'</f>
        <v>0</v>
      </c>
      <c r="BE108" s="207">
        <f>[1]!'ai[104].LL.fix'</f>
        <v>0</v>
      </c>
      <c r="BF108" s="208"/>
      <c r="BG108" s="207">
        <f>[1]!'ai[104].HH.EN'</f>
        <v>0</v>
      </c>
      <c r="BH108" s="207">
        <f>[1]!'ai[104].HH.V'</f>
        <v>0</v>
      </c>
      <c r="BI108" s="207">
        <f>[1]!'ai[104].HH.fix'</f>
        <v>0</v>
      </c>
      <c r="BJ108" s="210"/>
      <c r="BK108" s="207">
        <f>[1]!'ai[104].group'</f>
        <v>3</v>
      </c>
      <c r="BL108" s="207">
        <f>[1]!'ai[104].state'</f>
        <v>4</v>
      </c>
      <c r="BM108" s="207">
        <f>[1]!'ai[104].isInvScale'</f>
        <v>0</v>
      </c>
    </row>
    <row r="109" spans="1:65">
      <c r="A109" s="445"/>
      <c r="B109" s="446"/>
      <c r="C109" s="221">
        <v>9</v>
      </c>
      <c r="D109" s="221">
        <v>9</v>
      </c>
      <c r="E109" s="222" t="s">
        <v>384</v>
      </c>
      <c r="F109" s="222" t="s">
        <v>385</v>
      </c>
      <c r="G109" s="207">
        <f>[1]!'ai[105].ZL'</f>
        <v>0</v>
      </c>
      <c r="H109" s="207">
        <f>[1]!'ai[105].ZH'</f>
        <v>200</v>
      </c>
      <c r="I109" s="221" t="s">
        <v>383</v>
      </c>
      <c r="J109" s="207">
        <f>[1]!'ai[105].RL.V'</f>
        <v>115</v>
      </c>
      <c r="K109" s="207">
        <f>[1]!'ai[105].RH.V'</f>
        <v>155</v>
      </c>
      <c r="L109" s="207">
        <f>[1]!'ai[105].L.V'</f>
        <v>0</v>
      </c>
      <c r="M109" s="207">
        <f>[1]!'ai[105].H.V'</f>
        <v>156</v>
      </c>
      <c r="N109" s="207">
        <f>[1]!'ai[105].LL.V'</f>
        <v>0</v>
      </c>
      <c r="O109" s="207">
        <f>[1]!'ai[105].HH.V'</f>
        <v>0</v>
      </c>
      <c r="P109" s="223">
        <v>1</v>
      </c>
      <c r="Q109" s="224"/>
      <c r="R109" s="184"/>
      <c r="T109" s="207">
        <f>[1]!'ai[105].group'</f>
        <v>3</v>
      </c>
      <c r="X109" s="207">
        <f>[1]!'ai[105].EN'</f>
        <v>1</v>
      </c>
      <c r="Y109" s="207">
        <f>[1]!'ai[105].i'</f>
        <v>2.198219E-3</v>
      </c>
      <c r="Z109" s="207">
        <f>[1]!'ai[105].isForce'</f>
        <v>0</v>
      </c>
      <c r="AA109" s="207" t="e">
        <f>[1]!'ai[105].vRaw'</f>
        <v>#REF!</v>
      </c>
      <c r="AB109" s="207">
        <f>[1]!'ai[105].isCorrect'</f>
        <v>0</v>
      </c>
      <c r="AC109" s="207" t="e">
        <f>[1]!'ai[105].vCorrect'</f>
        <v>#REF!</v>
      </c>
      <c r="AD109" s="207">
        <f>[1]!'ai[105].v'</f>
        <v>0</v>
      </c>
      <c r="AE109" s="207" t="e">
        <f>[1]!'ai[105].isCut'</f>
        <v>#REF!</v>
      </c>
      <c r="AF109" s="207" t="e">
        <f>[1]!'ai[105].vCut'</f>
        <v>#REF!</v>
      </c>
      <c r="AG109" s="208"/>
      <c r="AH109" s="207">
        <f>[1]!'ai[105].break.sgn'</f>
        <v>1</v>
      </c>
      <c r="AI109" s="208"/>
      <c r="AJ109" s="207">
        <f>[1]!'ai[105].ZL'</f>
        <v>0</v>
      </c>
      <c r="AK109" s="207">
        <f>[1]!'ai[105].ZH'</f>
        <v>200</v>
      </c>
      <c r="AL109" s="208"/>
      <c r="AM109" s="207">
        <f>[1]!'ai[105].RL.EN'</f>
        <v>1</v>
      </c>
      <c r="AN109" s="207">
        <f>[1]!'ai[105].RL.V'</f>
        <v>115</v>
      </c>
      <c r="AO109" s="207">
        <f>[1]!'ai[105].RL.fix'</f>
        <v>0</v>
      </c>
      <c r="AP109" s="208"/>
      <c r="AQ109" s="207">
        <f>[1]!'ai[105].RH.EN'</f>
        <v>1</v>
      </c>
      <c r="AR109" s="207">
        <f>[1]!'ai[105].RH.V'</f>
        <v>155</v>
      </c>
      <c r="AS109" s="207">
        <f>[1]!'ai[105].RH.fix'</f>
        <v>0</v>
      </c>
      <c r="AT109" s="208"/>
      <c r="AU109" s="207">
        <f>[1]!'ai[105].L.EN'</f>
        <v>0</v>
      </c>
      <c r="AV109" s="207">
        <f>[1]!'ai[105].L.V'</f>
        <v>0</v>
      </c>
      <c r="AW109" s="207">
        <f>[1]!'ai[105].L.fix'</f>
        <v>0</v>
      </c>
      <c r="AX109" s="208"/>
      <c r="AY109" s="207">
        <f>[1]!'ai[105].H.EN'</f>
        <v>1</v>
      </c>
      <c r="AZ109" s="207">
        <f>[1]!'ai[105].H.V'</f>
        <v>156</v>
      </c>
      <c r="BA109" s="207">
        <f>[1]!'ai[105].H.fix'</f>
        <v>0</v>
      </c>
      <c r="BB109" s="208"/>
      <c r="BC109" s="207">
        <f>[1]!'ai[105].LL.EN'</f>
        <v>0</v>
      </c>
      <c r="BD109" s="207">
        <f>[1]!'ai[105].LL.V'</f>
        <v>0</v>
      </c>
      <c r="BE109" s="207">
        <f>[1]!'ai[105].LL.fix'</f>
        <v>0</v>
      </c>
      <c r="BF109" s="208"/>
      <c r="BG109" s="207">
        <f>[1]!'ai[105].HH.EN'</f>
        <v>0</v>
      </c>
      <c r="BH109" s="207">
        <f>[1]!'ai[105].HH.V'</f>
        <v>0</v>
      </c>
      <c r="BI109" s="207">
        <f>[1]!'ai[105].HH.fix'</f>
        <v>0</v>
      </c>
      <c r="BJ109" s="210"/>
      <c r="BK109" s="207">
        <f>[1]!'ai[105].group'</f>
        <v>3</v>
      </c>
      <c r="BL109" s="207">
        <f>[1]!'ai[105].state'</f>
        <v>4</v>
      </c>
      <c r="BM109" s="207">
        <f>[1]!'ai[105].isInvScale'</f>
        <v>0</v>
      </c>
    </row>
    <row r="110" spans="1:65">
      <c r="A110" s="445"/>
      <c r="B110" s="446"/>
      <c r="C110" s="221">
        <v>10</v>
      </c>
      <c r="D110" s="221">
        <v>10</v>
      </c>
      <c r="E110" s="222" t="s">
        <v>386</v>
      </c>
      <c r="F110" s="222" t="s">
        <v>387</v>
      </c>
      <c r="G110" s="207">
        <f>[1]!'ai[106].ZL'</f>
        <v>0</v>
      </c>
      <c r="H110" s="207">
        <f>[1]!'ai[106].ZH'</f>
        <v>350</v>
      </c>
      <c r="I110" s="221" t="s">
        <v>366</v>
      </c>
      <c r="J110" s="207">
        <f>[1]!'ai[106].RL.V'</f>
        <v>32</v>
      </c>
      <c r="K110" s="207">
        <f>[1]!'ai[106].RH.V'</f>
        <v>320</v>
      </c>
      <c r="L110" s="207">
        <f>[1]!'ai[106].L.V'</f>
        <v>0</v>
      </c>
      <c r="M110" s="207">
        <f>[1]!'ai[106].H.V'</f>
        <v>0</v>
      </c>
      <c r="N110" s="207">
        <f>[1]!'ai[106].LL.V'</f>
        <v>0</v>
      </c>
      <c r="O110" s="207">
        <f>[1]!'ai[106].HH.V'</f>
        <v>0</v>
      </c>
      <c r="P110" s="223">
        <v>4</v>
      </c>
      <c r="Q110" s="224">
        <v>3</v>
      </c>
      <c r="R110" s="184"/>
      <c r="T110" s="207">
        <f>[1]!'ai[106].group'</f>
        <v>3</v>
      </c>
      <c r="X110" s="207">
        <f>[1]!'ai[106].EN'</f>
        <v>0</v>
      </c>
      <c r="Y110" s="207">
        <f>[1]!'ai[106].i'</f>
        <v>0</v>
      </c>
      <c r="Z110" s="207">
        <f>[1]!'ai[106].isForce'</f>
        <v>0</v>
      </c>
      <c r="AA110" s="207" t="e">
        <f>[1]!'ai[106].vRaw'</f>
        <v>#REF!</v>
      </c>
      <c r="AB110" s="207">
        <f>[1]!'ai[106].isCorrect'</f>
        <v>0</v>
      </c>
      <c r="AC110" s="207" t="e">
        <f>[1]!'ai[106].vCorrect'</f>
        <v>#REF!</v>
      </c>
      <c r="AD110" s="207">
        <f>[1]!'ai[106].v'</f>
        <v>0</v>
      </c>
      <c r="AE110" s="207" t="e">
        <f>[1]!'ai[106].isCut'</f>
        <v>#REF!</v>
      </c>
      <c r="AF110" s="207" t="e">
        <f>[1]!'ai[106].vCut'</f>
        <v>#REF!</v>
      </c>
      <c r="AG110" s="208"/>
      <c r="AH110" s="207">
        <f>[1]!'ai[106].break.sgn'</f>
        <v>0</v>
      </c>
      <c r="AI110" s="208"/>
      <c r="AJ110" s="207">
        <f>[1]!'ai[106].ZL'</f>
        <v>0</v>
      </c>
      <c r="AK110" s="207">
        <f>[1]!'ai[106].ZH'</f>
        <v>350</v>
      </c>
      <c r="AL110" s="208"/>
      <c r="AM110" s="207">
        <f>[1]!'ai[106].RL.EN'</f>
        <v>1</v>
      </c>
      <c r="AN110" s="207">
        <f>[1]!'ai[106].RL.V'</f>
        <v>32</v>
      </c>
      <c r="AO110" s="207">
        <f>[1]!'ai[106].RL.fix'</f>
        <v>0</v>
      </c>
      <c r="AP110" s="208"/>
      <c r="AQ110" s="207">
        <f>[1]!'ai[106].RH.EN'</f>
        <v>1</v>
      </c>
      <c r="AR110" s="207">
        <f>[1]!'ai[106].RH.V'</f>
        <v>320</v>
      </c>
      <c r="AS110" s="207">
        <f>[1]!'ai[106].RH.fix'</f>
        <v>0</v>
      </c>
      <c r="AT110" s="208"/>
      <c r="AU110" s="207">
        <f>[1]!'ai[106].L.EN'</f>
        <v>0</v>
      </c>
      <c r="AV110" s="207">
        <f>[1]!'ai[106].L.V'</f>
        <v>0</v>
      </c>
      <c r="AW110" s="207">
        <f>[1]!'ai[106].L.fix'</f>
        <v>0</v>
      </c>
      <c r="AX110" s="208"/>
      <c r="AY110" s="207">
        <f>[1]!'ai[106].H.EN'</f>
        <v>0</v>
      </c>
      <c r="AZ110" s="207">
        <f>[1]!'ai[106].H.V'</f>
        <v>0</v>
      </c>
      <c r="BA110" s="207">
        <f>[1]!'ai[106].H.fix'</f>
        <v>0</v>
      </c>
      <c r="BB110" s="208"/>
      <c r="BC110" s="207">
        <f>[1]!'ai[106].LL.EN'</f>
        <v>0</v>
      </c>
      <c r="BD110" s="207">
        <f>[1]!'ai[106].LL.V'</f>
        <v>0</v>
      </c>
      <c r="BE110" s="207">
        <f>[1]!'ai[106].LL.fix'</f>
        <v>0</v>
      </c>
      <c r="BF110" s="208"/>
      <c r="BG110" s="207">
        <f>[1]!'ai[106].HH.EN'</f>
        <v>0</v>
      </c>
      <c r="BH110" s="207">
        <f>[1]!'ai[106].HH.V'</f>
        <v>0</v>
      </c>
      <c r="BI110" s="207">
        <f>[1]!'ai[106].HH.fix'</f>
        <v>0</v>
      </c>
      <c r="BJ110" s="209"/>
      <c r="BK110" s="207">
        <f>[1]!'ai[106].group'</f>
        <v>3</v>
      </c>
      <c r="BL110" s="207">
        <f>[1]!'ai[106].state'</f>
        <v>4</v>
      </c>
      <c r="BM110" s="207">
        <f>[1]!'ai[106].isInvScale'</f>
        <v>0</v>
      </c>
    </row>
    <row r="111" spans="1:65">
      <c r="A111" s="445"/>
      <c r="B111" s="446"/>
      <c r="C111" s="221">
        <v>11</v>
      </c>
      <c r="D111" s="221">
        <v>11</v>
      </c>
      <c r="E111" s="222" t="s">
        <v>388</v>
      </c>
      <c r="F111" s="222" t="s">
        <v>389</v>
      </c>
      <c r="G111" s="207">
        <f>[1]!'ai[107].ZL'</f>
        <v>0</v>
      </c>
      <c r="H111" s="207">
        <f>[1]!'ai[107].ZH'</f>
        <v>350</v>
      </c>
      <c r="I111" s="221" t="s">
        <v>366</v>
      </c>
      <c r="J111" s="207">
        <f>[1]!'ai[107].RL.V'</f>
        <v>32</v>
      </c>
      <c r="K111" s="207">
        <f>[1]!'ai[107].RH.V'</f>
        <v>320</v>
      </c>
      <c r="L111" s="207">
        <f>[1]!'ai[107].L.V'</f>
        <v>0</v>
      </c>
      <c r="M111" s="207">
        <f>[1]!'ai[107].H.V'</f>
        <v>0</v>
      </c>
      <c r="N111" s="207">
        <f>[1]!'ai[107].LL.V'</f>
        <v>0</v>
      </c>
      <c r="O111" s="207">
        <f>[1]!'ai[107].HH.V'</f>
        <v>0</v>
      </c>
      <c r="P111" s="223">
        <v>4</v>
      </c>
      <c r="Q111" s="224">
        <v>3</v>
      </c>
      <c r="R111" s="184"/>
      <c r="T111" s="207">
        <f>[1]!'ai[107].group'</f>
        <v>3</v>
      </c>
      <c r="X111" s="207">
        <f>[1]!'ai[107].EN'</f>
        <v>0</v>
      </c>
      <c r="Y111" s="207">
        <f>[1]!'ai[107].i'</f>
        <v>0</v>
      </c>
      <c r="Z111" s="207">
        <f>[1]!'ai[107].isForce'</f>
        <v>0</v>
      </c>
      <c r="AA111" s="207" t="e">
        <f>[1]!'ai[107].vRaw'</f>
        <v>#REF!</v>
      </c>
      <c r="AB111" s="207">
        <f>[1]!'ai[107].isCorrect'</f>
        <v>0</v>
      </c>
      <c r="AC111" s="207" t="e">
        <f>[1]!'ai[107].vCorrect'</f>
        <v>#REF!</v>
      </c>
      <c r="AD111" s="207">
        <f>[1]!'ai[107].v'</f>
        <v>0</v>
      </c>
      <c r="AE111" s="207" t="e">
        <f>[1]!'ai[107].isCut'</f>
        <v>#REF!</v>
      </c>
      <c r="AF111" s="207" t="e">
        <f>[1]!'ai[107].vCut'</f>
        <v>#REF!</v>
      </c>
      <c r="AG111" s="208"/>
      <c r="AH111" s="207">
        <f>[1]!'ai[107].break.sgn'</f>
        <v>0</v>
      </c>
      <c r="AI111" s="208"/>
      <c r="AJ111" s="207">
        <f>[1]!'ai[107].ZL'</f>
        <v>0</v>
      </c>
      <c r="AK111" s="207">
        <f>[1]!'ai[107].ZH'</f>
        <v>350</v>
      </c>
      <c r="AL111" s="208"/>
      <c r="AM111" s="207">
        <f>[1]!'ai[107].RL.EN'</f>
        <v>1</v>
      </c>
      <c r="AN111" s="207">
        <f>[1]!'ai[107].RL.V'</f>
        <v>32</v>
      </c>
      <c r="AO111" s="207">
        <f>[1]!'ai[107].RL.fix'</f>
        <v>0</v>
      </c>
      <c r="AP111" s="208"/>
      <c r="AQ111" s="207">
        <f>[1]!'ai[107].RH.EN'</f>
        <v>1</v>
      </c>
      <c r="AR111" s="207">
        <f>[1]!'ai[107].RH.V'</f>
        <v>320</v>
      </c>
      <c r="AS111" s="207">
        <f>[1]!'ai[107].RH.fix'</f>
        <v>0</v>
      </c>
      <c r="AT111" s="208"/>
      <c r="AU111" s="207">
        <f>[1]!'ai[107].L.EN'</f>
        <v>0</v>
      </c>
      <c r="AV111" s="207">
        <f>[1]!'ai[107].L.V'</f>
        <v>0</v>
      </c>
      <c r="AW111" s="207">
        <f>[1]!'ai[107].L.fix'</f>
        <v>0</v>
      </c>
      <c r="AX111" s="208"/>
      <c r="AY111" s="207">
        <f>[1]!'ai[107].H.EN'</f>
        <v>0</v>
      </c>
      <c r="AZ111" s="207">
        <f>[1]!'ai[107].H.V'</f>
        <v>0</v>
      </c>
      <c r="BA111" s="207">
        <f>[1]!'ai[107].H.fix'</f>
        <v>0</v>
      </c>
      <c r="BB111" s="208"/>
      <c r="BC111" s="207">
        <f>[1]!'ai[107].LL.EN'</f>
        <v>0</v>
      </c>
      <c r="BD111" s="207">
        <f>[1]!'ai[107].LL.V'</f>
        <v>0</v>
      </c>
      <c r="BE111" s="207">
        <f>[1]!'ai[107].LL.fix'</f>
        <v>0</v>
      </c>
      <c r="BF111" s="208"/>
      <c r="BG111" s="207">
        <f>[1]!'ai[107].HH.EN'</f>
        <v>0</v>
      </c>
      <c r="BH111" s="207">
        <f>[1]!'ai[107].HH.V'</f>
        <v>0</v>
      </c>
      <c r="BI111" s="207">
        <f>[1]!'ai[107].HH.fix'</f>
        <v>0</v>
      </c>
      <c r="BJ111" s="209"/>
      <c r="BK111" s="207">
        <f>[1]!'ai[107].group'</f>
        <v>3</v>
      </c>
      <c r="BL111" s="207">
        <f>[1]!'ai[107].state'</f>
        <v>4</v>
      </c>
      <c r="BM111" s="207">
        <f>[1]!'ai[107].isInvScale'</f>
        <v>0</v>
      </c>
    </row>
    <row r="112" spans="1:65">
      <c r="A112" s="445"/>
      <c r="B112" s="446"/>
      <c r="C112" s="221">
        <v>12</v>
      </c>
      <c r="D112" s="221">
        <v>12</v>
      </c>
      <c r="E112" s="222" t="s">
        <v>390</v>
      </c>
      <c r="F112" s="222" t="s">
        <v>391</v>
      </c>
      <c r="G112" s="207">
        <f>[1]!'ai[108].ZL'</f>
        <v>0</v>
      </c>
      <c r="H112" s="207">
        <f>[1]!'ai[108].ZH'</f>
        <v>20</v>
      </c>
      <c r="I112" s="221" t="s">
        <v>366</v>
      </c>
      <c r="J112" s="207">
        <f>[1]!'ai[108].RL.V'</f>
        <v>5</v>
      </c>
      <c r="K112" s="207">
        <f>[1]!'ai[108].RH.V'</f>
        <v>13</v>
      </c>
      <c r="L112" s="207">
        <f>[1]!'ai[108].L.V'</f>
        <v>0</v>
      </c>
      <c r="M112" s="207">
        <f>[1]!'ai[108].H.V'</f>
        <v>13</v>
      </c>
      <c r="N112" s="207">
        <f>[1]!'ai[108].LL.V'</f>
        <v>0</v>
      </c>
      <c r="O112" s="207">
        <f>[1]!'ai[108].HH.V'</f>
        <v>14</v>
      </c>
      <c r="P112" s="223">
        <v>4</v>
      </c>
      <c r="Q112" s="224">
        <v>3</v>
      </c>
      <c r="R112" s="184"/>
      <c r="T112" s="207">
        <f>[1]!'ai[108].group'</f>
        <v>3</v>
      </c>
      <c r="X112" s="207">
        <f>[1]!'ai[108].EN'</f>
        <v>1</v>
      </c>
      <c r="Y112" s="207">
        <f>[1]!'ai[108].i'</f>
        <v>1.8844599999999999E-3</v>
      </c>
      <c r="Z112" s="207">
        <f>[1]!'ai[108].isForce'</f>
        <v>0</v>
      </c>
      <c r="AA112" s="207" t="e">
        <f>[1]!'ai[108].vRaw'</f>
        <v>#REF!</v>
      </c>
      <c r="AB112" s="207">
        <f>[1]!'ai[108].isCorrect'</f>
        <v>0</v>
      </c>
      <c r="AC112" s="207" t="e">
        <f>[1]!'ai[108].vCorrect'</f>
        <v>#REF!</v>
      </c>
      <c r="AD112" s="207">
        <f>[1]!'ai[108].v'</f>
        <v>0</v>
      </c>
      <c r="AE112" s="207" t="e">
        <f>[1]!'ai[108].isCut'</f>
        <v>#REF!</v>
      </c>
      <c r="AF112" s="207" t="e">
        <f>[1]!'ai[108].vCut'</f>
        <v>#REF!</v>
      </c>
      <c r="AG112" s="208"/>
      <c r="AH112" s="207">
        <f>[1]!'ai[108].break.sgn'</f>
        <v>1</v>
      </c>
      <c r="AI112" s="208"/>
      <c r="AJ112" s="207">
        <f>[1]!'ai[108].ZL'</f>
        <v>0</v>
      </c>
      <c r="AK112" s="207">
        <f>[1]!'ai[108].ZH'</f>
        <v>20</v>
      </c>
      <c r="AL112" s="208"/>
      <c r="AM112" s="207">
        <f>[1]!'ai[108].RL.EN'</f>
        <v>1</v>
      </c>
      <c r="AN112" s="207">
        <f>[1]!'ai[108].RL.V'</f>
        <v>5</v>
      </c>
      <c r="AO112" s="207">
        <f>[1]!'ai[108].RL.fix'</f>
        <v>0</v>
      </c>
      <c r="AP112" s="208"/>
      <c r="AQ112" s="207">
        <f>[1]!'ai[108].RH.EN'</f>
        <v>1</v>
      </c>
      <c r="AR112" s="207">
        <f>[1]!'ai[108].RH.V'</f>
        <v>13</v>
      </c>
      <c r="AS112" s="207">
        <f>[1]!'ai[108].RH.fix'</f>
        <v>0</v>
      </c>
      <c r="AT112" s="208"/>
      <c r="AU112" s="207">
        <f>[1]!'ai[108].L.EN'</f>
        <v>0</v>
      </c>
      <c r="AV112" s="207">
        <f>[1]!'ai[108].L.V'</f>
        <v>0</v>
      </c>
      <c r="AW112" s="207">
        <f>[1]!'ai[108].L.fix'</f>
        <v>0</v>
      </c>
      <c r="AX112" s="208"/>
      <c r="AY112" s="207">
        <f>[1]!'ai[108].H.EN'</f>
        <v>1</v>
      </c>
      <c r="AZ112" s="207">
        <f>[1]!'ai[108].H.V'</f>
        <v>13</v>
      </c>
      <c r="BA112" s="207">
        <f>[1]!'ai[108].H.fix'</f>
        <v>0</v>
      </c>
      <c r="BB112" s="208"/>
      <c r="BC112" s="207">
        <f>[1]!'ai[108].LL.EN'</f>
        <v>0</v>
      </c>
      <c r="BD112" s="207">
        <f>[1]!'ai[108].LL.V'</f>
        <v>0</v>
      </c>
      <c r="BE112" s="207">
        <f>[1]!'ai[108].LL.fix'</f>
        <v>0</v>
      </c>
      <c r="BF112" s="208"/>
      <c r="BG112" s="207">
        <f>[1]!'ai[108].HH.EN'</f>
        <v>1</v>
      </c>
      <c r="BH112" s="207">
        <f>[1]!'ai[108].HH.V'</f>
        <v>14</v>
      </c>
      <c r="BI112" s="207">
        <f>[1]!'ai[108].HH.fix'</f>
        <v>0</v>
      </c>
      <c r="BJ112" s="209"/>
      <c r="BK112" s="207">
        <f>[1]!'ai[108].group'</f>
        <v>3</v>
      </c>
      <c r="BL112" s="207">
        <f>[1]!'ai[108].state'</f>
        <v>4</v>
      </c>
      <c r="BM112" s="207">
        <f>[1]!'ai[108].isInvScale'</f>
        <v>0</v>
      </c>
    </row>
    <row r="113" spans="1:65">
      <c r="A113" s="445"/>
      <c r="B113" s="446"/>
      <c r="C113" s="221">
        <v>13</v>
      </c>
      <c r="D113" s="221">
        <v>13</v>
      </c>
      <c r="E113" s="222" t="s">
        <v>392</v>
      </c>
      <c r="F113" s="222" t="s">
        <v>393</v>
      </c>
      <c r="G113" s="207">
        <f>[1]!'ai[109].ZL'</f>
        <v>0</v>
      </c>
      <c r="H113" s="207">
        <f>[1]!'ai[109].ZH'</f>
        <v>2</v>
      </c>
      <c r="I113" s="221" t="s">
        <v>366</v>
      </c>
      <c r="J113" s="207">
        <f>[1]!'ai[109].RL.V'</f>
        <v>0.95</v>
      </c>
      <c r="K113" s="207">
        <f>[1]!'ai[109].RH.V'</f>
        <v>1.05</v>
      </c>
      <c r="L113" s="207">
        <f>[1]!'ai[109].L.V'</f>
        <v>0</v>
      </c>
      <c r="M113" s="207">
        <f>[1]!'ai[109].H.V'</f>
        <v>0</v>
      </c>
      <c r="N113" s="207">
        <f>[1]!'ai[109].LL.V'</f>
        <v>0</v>
      </c>
      <c r="O113" s="207">
        <f>[1]!'ai[109].HH.V'</f>
        <v>0</v>
      </c>
      <c r="P113" s="223">
        <v>4</v>
      </c>
      <c r="Q113" s="224">
        <v>3</v>
      </c>
      <c r="R113" s="184"/>
      <c r="T113" s="207">
        <f>[1]!'ai[109].group'</f>
        <v>3</v>
      </c>
      <c r="X113" s="207">
        <f>[1]!'ai[109].EN'</f>
        <v>1</v>
      </c>
      <c r="Y113" s="207">
        <f>[1]!'ai[109].i'</f>
        <v>2.198219E-3</v>
      </c>
      <c r="Z113" s="207">
        <f>[1]!'ai[109].isForce'</f>
        <v>0</v>
      </c>
      <c r="AA113" s="207" t="e">
        <f>[1]!'ai[109].vRaw'</f>
        <v>#REF!</v>
      </c>
      <c r="AB113" s="207">
        <f>[1]!'ai[109].isCorrect'</f>
        <v>0</v>
      </c>
      <c r="AC113" s="207" t="e">
        <f>[1]!'ai[109].vCorrect'</f>
        <v>#REF!</v>
      </c>
      <c r="AD113" s="207">
        <f>[1]!'ai[109].v'</f>
        <v>0</v>
      </c>
      <c r="AE113" s="207" t="e">
        <f>[1]!'ai[109].isCut'</f>
        <v>#REF!</v>
      </c>
      <c r="AF113" s="207" t="e">
        <f>[1]!'ai[109].vCut'</f>
        <v>#REF!</v>
      </c>
      <c r="AG113" s="208"/>
      <c r="AH113" s="207">
        <f>[1]!'ai[109].break.sgn'</f>
        <v>1</v>
      </c>
      <c r="AI113" s="208"/>
      <c r="AJ113" s="207">
        <f>[1]!'ai[109].ZL'</f>
        <v>0</v>
      </c>
      <c r="AK113" s="207">
        <f>[1]!'ai[109].ZH'</f>
        <v>2</v>
      </c>
      <c r="AL113" s="208"/>
      <c r="AM113" s="207">
        <f>[1]!'ai[109].RL.EN'</f>
        <v>1</v>
      </c>
      <c r="AN113" s="207">
        <f>[1]!'ai[109].RL.V'</f>
        <v>0.95</v>
      </c>
      <c r="AO113" s="207">
        <f>[1]!'ai[109].RL.fix'</f>
        <v>0</v>
      </c>
      <c r="AP113" s="208"/>
      <c r="AQ113" s="207">
        <f>[1]!'ai[109].RH.EN'</f>
        <v>1</v>
      </c>
      <c r="AR113" s="207">
        <f>[1]!'ai[109].RH.V'</f>
        <v>1.05</v>
      </c>
      <c r="AS113" s="207">
        <f>[1]!'ai[109].RH.fix'</f>
        <v>0</v>
      </c>
      <c r="AT113" s="208"/>
      <c r="AU113" s="207">
        <f>[1]!'ai[109].L.EN'</f>
        <v>0</v>
      </c>
      <c r="AV113" s="207">
        <f>[1]!'ai[109].L.V'</f>
        <v>0</v>
      </c>
      <c r="AW113" s="207">
        <f>[1]!'ai[109].L.fix'</f>
        <v>0</v>
      </c>
      <c r="AX113" s="208"/>
      <c r="AY113" s="207">
        <f>[1]!'ai[109].H.EN'</f>
        <v>0</v>
      </c>
      <c r="AZ113" s="207">
        <f>[1]!'ai[109].H.V'</f>
        <v>0</v>
      </c>
      <c r="BA113" s="207">
        <f>[1]!'ai[109].H.fix'</f>
        <v>0</v>
      </c>
      <c r="BB113" s="208"/>
      <c r="BC113" s="207">
        <f>[1]!'ai[109].LL.EN'</f>
        <v>0</v>
      </c>
      <c r="BD113" s="207">
        <f>[1]!'ai[109].LL.V'</f>
        <v>0</v>
      </c>
      <c r="BE113" s="207">
        <f>[1]!'ai[109].LL.fix'</f>
        <v>0</v>
      </c>
      <c r="BF113" s="208"/>
      <c r="BG113" s="207">
        <f>[1]!'ai[109].HH.EN'</f>
        <v>0</v>
      </c>
      <c r="BH113" s="207">
        <f>[1]!'ai[109].HH.V'</f>
        <v>0</v>
      </c>
      <c r="BI113" s="207">
        <f>[1]!'ai[109].HH.fix'</f>
        <v>0</v>
      </c>
      <c r="BJ113" s="209"/>
      <c r="BK113" s="207">
        <f>[1]!'ai[109].group'</f>
        <v>3</v>
      </c>
      <c r="BL113" s="207">
        <f>[1]!'ai[109].state'</f>
        <v>4</v>
      </c>
      <c r="BM113" s="207">
        <f>[1]!'ai[109].isInvScale'</f>
        <v>0</v>
      </c>
    </row>
    <row r="114" spans="1:65">
      <c r="A114" s="445"/>
      <c r="B114" s="446"/>
      <c r="C114" s="221">
        <v>14</v>
      </c>
      <c r="D114" s="221">
        <v>14</v>
      </c>
      <c r="E114" s="222" t="s">
        <v>394</v>
      </c>
      <c r="F114" s="222" t="s">
        <v>395</v>
      </c>
      <c r="G114" s="207">
        <f>[1]!'ai[110].ZL'</f>
        <v>0</v>
      </c>
      <c r="H114" s="207">
        <f>[1]!'ai[110].ZH'</f>
        <v>0</v>
      </c>
      <c r="I114" s="221" t="s">
        <v>366</v>
      </c>
      <c r="J114" s="207">
        <f>[1]!'ai[110].RL.V'</f>
        <v>0</v>
      </c>
      <c r="K114" s="207">
        <f>[1]!'ai[110].RH.V'</f>
        <v>0</v>
      </c>
      <c r="L114" s="207">
        <f>[1]!'ai[110].L.V'</f>
        <v>0</v>
      </c>
      <c r="M114" s="207">
        <f>[1]!'ai[110].H.V'</f>
        <v>0</v>
      </c>
      <c r="N114" s="207">
        <f>[1]!'ai[110].LL.V'</f>
        <v>0</v>
      </c>
      <c r="O114" s="207">
        <f>[1]!'ai[110].HH.V'</f>
        <v>0</v>
      </c>
      <c r="P114" s="223">
        <v>4</v>
      </c>
      <c r="Q114" s="224">
        <v>3</v>
      </c>
      <c r="R114" s="184"/>
      <c r="T114" s="207">
        <f>[1]!'ai[110].group'</f>
        <v>0</v>
      </c>
      <c r="X114" s="207">
        <f>[1]!'ai[110].EN'</f>
        <v>0</v>
      </c>
      <c r="Y114" s="207">
        <f>[1]!'ai[110].i'</f>
        <v>0</v>
      </c>
      <c r="Z114" s="207">
        <f>[1]!'ai[110].isForce'</f>
        <v>0</v>
      </c>
      <c r="AA114" s="207" t="e">
        <f>[1]!'ai[110].vRaw'</f>
        <v>#REF!</v>
      </c>
      <c r="AB114" s="207">
        <f>[1]!'ai[110].isCorrect'</f>
        <v>0</v>
      </c>
      <c r="AC114" s="207" t="e">
        <f>[1]!'ai[110].vCorrect'</f>
        <v>#REF!</v>
      </c>
      <c r="AD114" s="207">
        <f>[1]!'ai[110].v'</f>
        <v>0</v>
      </c>
      <c r="AE114" s="207" t="e">
        <f>[1]!'ai[110].isCut'</f>
        <v>#REF!</v>
      </c>
      <c r="AF114" s="207" t="e">
        <f>[1]!'ai[110].vCut'</f>
        <v>#REF!</v>
      </c>
      <c r="AG114" s="208"/>
      <c r="AH114" s="207">
        <f>[1]!'ai[110].break.sgn'</f>
        <v>0</v>
      </c>
      <c r="AI114" s="208"/>
      <c r="AJ114" s="207">
        <f>[1]!'ai[110].ZL'</f>
        <v>0</v>
      </c>
      <c r="AK114" s="207">
        <f>[1]!'ai[110].ZH'</f>
        <v>0</v>
      </c>
      <c r="AL114" s="208"/>
      <c r="AM114" s="207">
        <f>[1]!'ai[110].RL.EN'</f>
        <v>0</v>
      </c>
      <c r="AN114" s="207">
        <f>[1]!'ai[110].RL.V'</f>
        <v>0</v>
      </c>
      <c r="AO114" s="207">
        <f>[1]!'ai[110].RL.fix'</f>
        <v>0</v>
      </c>
      <c r="AP114" s="208"/>
      <c r="AQ114" s="207">
        <f>[1]!'ai[110].RH.EN'</f>
        <v>0</v>
      </c>
      <c r="AR114" s="207">
        <f>[1]!'ai[110].RH.V'</f>
        <v>0</v>
      </c>
      <c r="AS114" s="207">
        <f>[1]!'ai[110].RH.fix'</f>
        <v>0</v>
      </c>
      <c r="AT114" s="208"/>
      <c r="AU114" s="207">
        <f>[1]!'ai[110].L.EN'</f>
        <v>0</v>
      </c>
      <c r="AV114" s="207">
        <f>[1]!'ai[110].L.V'</f>
        <v>0</v>
      </c>
      <c r="AW114" s="207">
        <f>[1]!'ai[110].L.fix'</f>
        <v>0</v>
      </c>
      <c r="AX114" s="208"/>
      <c r="AY114" s="207">
        <f>[1]!'ai[110].H.EN'</f>
        <v>0</v>
      </c>
      <c r="AZ114" s="207">
        <f>[1]!'ai[110].H.V'</f>
        <v>0</v>
      </c>
      <c r="BA114" s="207">
        <f>[1]!'ai[110].H.fix'</f>
        <v>0</v>
      </c>
      <c r="BB114" s="208"/>
      <c r="BC114" s="207">
        <f>[1]!'ai[110].LL.EN'</f>
        <v>0</v>
      </c>
      <c r="BD114" s="207">
        <f>[1]!'ai[110].LL.V'</f>
        <v>0</v>
      </c>
      <c r="BE114" s="207">
        <f>[1]!'ai[110].LL.fix'</f>
        <v>0</v>
      </c>
      <c r="BF114" s="208"/>
      <c r="BG114" s="207">
        <f>[1]!'ai[110].HH.EN'</f>
        <v>0</v>
      </c>
      <c r="BH114" s="207">
        <f>[1]!'ai[110].HH.V'</f>
        <v>0</v>
      </c>
      <c r="BI114" s="207">
        <f>[1]!'ai[110].HH.fix'</f>
        <v>0</v>
      </c>
      <c r="BJ114" s="210"/>
      <c r="BK114" s="207">
        <f>[1]!'ai[110].group'</f>
        <v>0</v>
      </c>
      <c r="BL114" s="207">
        <f>[1]!'ai[110].state'</f>
        <v>4</v>
      </c>
      <c r="BM114" s="207">
        <f>[1]!'ai[110].isInvScale'</f>
        <v>0</v>
      </c>
    </row>
    <row r="115" spans="1:65" ht="15.75" thickBot="1">
      <c r="A115" s="445"/>
      <c r="B115" s="446"/>
      <c r="C115" s="225">
        <v>15</v>
      </c>
      <c r="D115" s="225">
        <v>15</v>
      </c>
      <c r="E115" s="226" t="s">
        <v>396</v>
      </c>
      <c r="F115" s="226" t="s">
        <v>397</v>
      </c>
      <c r="G115" s="207">
        <f>[1]!'ai[111].ZL'</f>
        <v>0</v>
      </c>
      <c r="H115" s="207">
        <f>[1]!'ai[111].ZH'</f>
        <v>0</v>
      </c>
      <c r="I115" s="225" t="s">
        <v>366</v>
      </c>
      <c r="J115" s="207">
        <f>[1]!'ai[111].RL.V'</f>
        <v>0</v>
      </c>
      <c r="K115" s="207">
        <f>[1]!'ai[111].RH.V'</f>
        <v>0</v>
      </c>
      <c r="L115" s="207">
        <f>[1]!'ai[111].L.V'</f>
        <v>0</v>
      </c>
      <c r="M115" s="207">
        <f>[1]!'ai[111].H.V'</f>
        <v>0</v>
      </c>
      <c r="N115" s="207">
        <f>[1]!'ai[111].LL.V'</f>
        <v>0</v>
      </c>
      <c r="O115" s="207">
        <f>[1]!'ai[111].HH.V'</f>
        <v>0</v>
      </c>
      <c r="P115" s="227">
        <v>4</v>
      </c>
      <c r="Q115" s="228">
        <v>3</v>
      </c>
      <c r="R115" s="190"/>
      <c r="T115" s="207">
        <f>[1]!'ai[111].group'</f>
        <v>0</v>
      </c>
      <c r="X115" s="207">
        <f>[1]!'ai[111].EN'</f>
        <v>0</v>
      </c>
      <c r="Y115" s="207">
        <f>[1]!'ai[111].i'</f>
        <v>0</v>
      </c>
      <c r="Z115" s="207">
        <f>[1]!'ai[111].isForce'</f>
        <v>0</v>
      </c>
      <c r="AA115" s="207" t="e">
        <f>[1]!'ai[111].vRaw'</f>
        <v>#REF!</v>
      </c>
      <c r="AB115" s="207">
        <f>[1]!'ai[111].isCorrect'</f>
        <v>0</v>
      </c>
      <c r="AC115" s="207" t="e">
        <f>[1]!'ai[111].vCorrect'</f>
        <v>#REF!</v>
      </c>
      <c r="AD115" s="207">
        <f>[1]!'ai[111].v'</f>
        <v>0</v>
      </c>
      <c r="AE115" s="207" t="e">
        <f>[1]!'ai[111].isCut'</f>
        <v>#REF!</v>
      </c>
      <c r="AF115" s="207" t="e">
        <f>[1]!'ai[111].vCut'</f>
        <v>#REF!</v>
      </c>
      <c r="AG115" s="208"/>
      <c r="AH115" s="207">
        <f>[1]!'ai[111].break.sgn'</f>
        <v>0</v>
      </c>
      <c r="AI115" s="208"/>
      <c r="AJ115" s="207">
        <f>[1]!'ai[111].ZL'</f>
        <v>0</v>
      </c>
      <c r="AK115" s="207">
        <f>[1]!'ai[111].ZH'</f>
        <v>0</v>
      </c>
      <c r="AL115" s="208"/>
      <c r="AM115" s="207">
        <f>[1]!'ai[111].RL.EN'</f>
        <v>0</v>
      </c>
      <c r="AN115" s="207">
        <f>[1]!'ai[111].RL.V'</f>
        <v>0</v>
      </c>
      <c r="AO115" s="207">
        <f>[1]!'ai[111].RL.fix'</f>
        <v>0</v>
      </c>
      <c r="AP115" s="208"/>
      <c r="AQ115" s="207">
        <f>[1]!'ai[111].RH.EN'</f>
        <v>0</v>
      </c>
      <c r="AR115" s="207">
        <f>[1]!'ai[111].RH.V'</f>
        <v>0</v>
      </c>
      <c r="AS115" s="207">
        <f>[1]!'ai[111].RH.fix'</f>
        <v>0</v>
      </c>
      <c r="AT115" s="208"/>
      <c r="AU115" s="207">
        <f>[1]!'ai[111].L.EN'</f>
        <v>0</v>
      </c>
      <c r="AV115" s="207">
        <f>[1]!'ai[111].L.V'</f>
        <v>0</v>
      </c>
      <c r="AW115" s="207">
        <f>[1]!'ai[111].L.fix'</f>
        <v>0</v>
      </c>
      <c r="AX115" s="208"/>
      <c r="AY115" s="207">
        <f>[1]!'ai[111].H.EN'</f>
        <v>0</v>
      </c>
      <c r="AZ115" s="207">
        <f>[1]!'ai[111].H.V'</f>
        <v>0</v>
      </c>
      <c r="BA115" s="207">
        <f>[1]!'ai[111].H.fix'</f>
        <v>0</v>
      </c>
      <c r="BB115" s="208"/>
      <c r="BC115" s="207">
        <f>[1]!'ai[111].LL.EN'</f>
        <v>0</v>
      </c>
      <c r="BD115" s="207">
        <f>[1]!'ai[111].LL.V'</f>
        <v>0</v>
      </c>
      <c r="BE115" s="207">
        <f>[1]!'ai[111].LL.fix'</f>
        <v>0</v>
      </c>
      <c r="BF115" s="208"/>
      <c r="BG115" s="207">
        <f>[1]!'ai[111].HH.EN'</f>
        <v>0</v>
      </c>
      <c r="BH115" s="207">
        <f>[1]!'ai[111].HH.V'</f>
        <v>0</v>
      </c>
      <c r="BI115" s="207">
        <f>[1]!'ai[111].HH.fix'</f>
        <v>0</v>
      </c>
      <c r="BJ115" s="210"/>
      <c r="BK115" s="207">
        <f>[1]!'ai[111].group'</f>
        <v>0</v>
      </c>
      <c r="BL115" s="207">
        <f>[1]!'ai[111].state'</f>
        <v>4</v>
      </c>
      <c r="BM115" s="207">
        <f>[1]!'ai[111].isInvScale'</f>
        <v>0</v>
      </c>
    </row>
    <row r="116" spans="1:65">
      <c r="A116" s="445" t="s">
        <v>36</v>
      </c>
      <c r="B116" s="446">
        <v>3</v>
      </c>
      <c r="C116" s="216">
        <v>0</v>
      </c>
      <c r="D116" s="216">
        <v>0</v>
      </c>
      <c r="E116" s="217" t="s">
        <v>364</v>
      </c>
      <c r="F116" s="217" t="s">
        <v>365</v>
      </c>
      <c r="G116" s="207">
        <f>[1]!'ai[112].ZL'</f>
        <v>-50</v>
      </c>
      <c r="H116" s="207">
        <f>[1]!'ai[112].ZH'</f>
        <v>50</v>
      </c>
      <c r="I116" s="216" t="s">
        <v>366</v>
      </c>
      <c r="J116" s="207">
        <f>[1]!'ai[112].RL.V'</f>
        <v>5</v>
      </c>
      <c r="K116" s="207">
        <f>[1]!'ai[112].RH.V'</f>
        <v>40</v>
      </c>
      <c r="L116" s="207">
        <f>[1]!'ai[112].L.V'</f>
        <v>0</v>
      </c>
      <c r="M116" s="207">
        <f>[1]!'ai[112].H.V'</f>
        <v>0</v>
      </c>
      <c r="N116" s="207">
        <f>[1]!'ai[112].LL.V'</f>
        <v>0</v>
      </c>
      <c r="O116" s="207">
        <f>[1]!'ai[112].HH.V'</f>
        <v>0</v>
      </c>
      <c r="P116" s="218">
        <v>1</v>
      </c>
      <c r="Q116" s="219">
        <v>0</v>
      </c>
      <c r="R116" s="220"/>
      <c r="T116" s="207">
        <f>[1]!'ai[112].group'</f>
        <v>3</v>
      </c>
      <c r="X116" s="207">
        <f>[1]!'ai[112].EN'</f>
        <v>1</v>
      </c>
      <c r="Y116" s="207">
        <f>[1]!'ai[112].i'</f>
        <v>3.1404499999999999E-3</v>
      </c>
      <c r="Z116" s="207">
        <f>[1]!'ai[112].isForce'</f>
        <v>0</v>
      </c>
      <c r="AA116" s="207" t="e">
        <f>[1]!'ai[112].vRaw'</f>
        <v>#REF!</v>
      </c>
      <c r="AB116" s="207">
        <f>[1]!'ai[112].isCorrect'</f>
        <v>0</v>
      </c>
      <c r="AC116" s="207" t="e">
        <f>[1]!'ai[112].vCorrect'</f>
        <v>#REF!</v>
      </c>
      <c r="AD116" s="207">
        <f>[1]!'ai[112].v'</f>
        <v>0</v>
      </c>
      <c r="AE116" s="207" t="e">
        <f>[1]!'ai[112].isCut'</f>
        <v>#REF!</v>
      </c>
      <c r="AF116" s="207" t="e">
        <f>[1]!'ai[112].vCut'</f>
        <v>#REF!</v>
      </c>
      <c r="AG116" s="208"/>
      <c r="AH116" s="207">
        <f>[1]!'ai[112].break.sgn'</f>
        <v>1</v>
      </c>
      <c r="AI116" s="208"/>
      <c r="AJ116" s="207">
        <f>[1]!'ai[112].ZL'</f>
        <v>-50</v>
      </c>
      <c r="AK116" s="207">
        <f>[1]!'ai[112].ZH'</f>
        <v>50</v>
      </c>
      <c r="AL116" s="208"/>
      <c r="AM116" s="207">
        <f>[1]!'ai[112].RL.EN'</f>
        <v>1</v>
      </c>
      <c r="AN116" s="207">
        <f>[1]!'ai[112].RL.V'</f>
        <v>5</v>
      </c>
      <c r="AO116" s="207">
        <f>[1]!'ai[112].RL.fix'</f>
        <v>0</v>
      </c>
      <c r="AP116" s="208"/>
      <c r="AQ116" s="207">
        <f>[1]!'ai[112].RH.EN'</f>
        <v>1</v>
      </c>
      <c r="AR116" s="207">
        <f>[1]!'ai[112].RH.V'</f>
        <v>40</v>
      </c>
      <c r="AS116" s="207">
        <f>[1]!'ai[112].RH.fix'</f>
        <v>0</v>
      </c>
      <c r="AT116" s="208"/>
      <c r="AU116" s="207">
        <f>[1]!'ai[112].L.EN'</f>
        <v>0</v>
      </c>
      <c r="AV116" s="207">
        <f>[1]!'ai[112].L.V'</f>
        <v>0</v>
      </c>
      <c r="AW116" s="207">
        <f>[1]!'ai[112].L.fix'</f>
        <v>0</v>
      </c>
      <c r="AX116" s="208"/>
      <c r="AY116" s="207">
        <f>[1]!'ai[112].H.EN'</f>
        <v>0</v>
      </c>
      <c r="AZ116" s="207">
        <f>[1]!'ai[112].H.V'</f>
        <v>0</v>
      </c>
      <c r="BA116" s="207">
        <f>[1]!'ai[112].H.fix'</f>
        <v>0</v>
      </c>
      <c r="BB116" s="208"/>
      <c r="BC116" s="207">
        <f>[1]!'ai[112].LL.EN'</f>
        <v>0</v>
      </c>
      <c r="BD116" s="207">
        <f>[1]!'ai[112].LL.V'</f>
        <v>0</v>
      </c>
      <c r="BE116" s="207">
        <f>[1]!'ai[112].LL.fix'</f>
        <v>0</v>
      </c>
      <c r="BF116" s="208"/>
      <c r="BG116" s="207">
        <f>[1]!'ai[112].HH.EN'</f>
        <v>0</v>
      </c>
      <c r="BH116" s="207">
        <f>[1]!'ai[112].HH.V'</f>
        <v>0</v>
      </c>
      <c r="BI116" s="207">
        <f>[1]!'ai[112].HH.fix'</f>
        <v>0</v>
      </c>
      <c r="BJ116" s="210"/>
      <c r="BK116" s="207">
        <f>[1]!'ai[112].group'</f>
        <v>3</v>
      </c>
      <c r="BL116" s="207">
        <f>[1]!'ai[112].state'</f>
        <v>4</v>
      </c>
      <c r="BM116" s="207">
        <f>[1]!'ai[112].isInvScale'</f>
        <v>0</v>
      </c>
    </row>
    <row r="117" spans="1:65">
      <c r="A117" s="445"/>
      <c r="B117" s="446"/>
      <c r="C117" s="221">
        <v>1</v>
      </c>
      <c r="D117" s="221">
        <v>1</v>
      </c>
      <c r="E117" s="222" t="s">
        <v>367</v>
      </c>
      <c r="F117" s="222" t="s">
        <v>368</v>
      </c>
      <c r="G117" s="207">
        <f>[1]!'ai[113].ZL'</f>
        <v>0</v>
      </c>
      <c r="H117" s="207">
        <f>[1]!'ai[113].ZH'</f>
        <v>100</v>
      </c>
      <c r="I117" s="221" t="s">
        <v>366</v>
      </c>
      <c r="J117" s="207">
        <f>[1]!'ai[113].RL.V'</f>
        <v>30</v>
      </c>
      <c r="K117" s="207">
        <f>[1]!'ai[113].RH.V'</f>
        <v>60</v>
      </c>
      <c r="L117" s="207">
        <f>[1]!'ai[113].L.V'</f>
        <v>0</v>
      </c>
      <c r="M117" s="207">
        <f>[1]!'ai[113].H.V'</f>
        <v>0</v>
      </c>
      <c r="N117" s="207">
        <f>[1]!'ai[113].LL.V'</f>
        <v>0</v>
      </c>
      <c r="O117" s="207">
        <f>[1]!'ai[113].HH.V'</f>
        <v>0</v>
      </c>
      <c r="P117" s="223">
        <v>1</v>
      </c>
      <c r="Q117" s="224">
        <v>0</v>
      </c>
      <c r="R117" s="184"/>
      <c r="T117" s="207">
        <f>[1]!'ai[113].group'</f>
        <v>3</v>
      </c>
      <c r="X117" s="207">
        <f>[1]!'ai[113].EN'</f>
        <v>1</v>
      </c>
      <c r="Y117" s="207">
        <f>[1]!'ai[113].i'</f>
        <v>3.4551619999999999E-3</v>
      </c>
      <c r="Z117" s="207">
        <f>[1]!'ai[113].isForce'</f>
        <v>0</v>
      </c>
      <c r="AA117" s="207" t="e">
        <f>[1]!'ai[113].vRaw'</f>
        <v>#REF!</v>
      </c>
      <c r="AB117" s="207">
        <f>[1]!'ai[113].isCorrect'</f>
        <v>0</v>
      </c>
      <c r="AC117" s="207" t="e">
        <f>[1]!'ai[113].vCorrect'</f>
        <v>#REF!</v>
      </c>
      <c r="AD117" s="207">
        <f>[1]!'ai[113].v'</f>
        <v>0</v>
      </c>
      <c r="AE117" s="207" t="e">
        <f>[1]!'ai[113].isCut'</f>
        <v>#REF!</v>
      </c>
      <c r="AF117" s="207" t="e">
        <f>[1]!'ai[113].vCut'</f>
        <v>#REF!</v>
      </c>
      <c r="AG117" s="208"/>
      <c r="AH117" s="207">
        <f>[1]!'ai[113].break.sgn'</f>
        <v>1</v>
      </c>
      <c r="AI117" s="208"/>
      <c r="AJ117" s="207">
        <f>[1]!'ai[113].ZL'</f>
        <v>0</v>
      </c>
      <c r="AK117" s="207">
        <f>[1]!'ai[113].ZH'</f>
        <v>100</v>
      </c>
      <c r="AL117" s="208"/>
      <c r="AM117" s="207">
        <f>[1]!'ai[113].RL.EN'</f>
        <v>1</v>
      </c>
      <c r="AN117" s="207">
        <f>[1]!'ai[113].RL.V'</f>
        <v>30</v>
      </c>
      <c r="AO117" s="207">
        <f>[1]!'ai[113].RL.fix'</f>
        <v>0</v>
      </c>
      <c r="AP117" s="208"/>
      <c r="AQ117" s="207">
        <f>[1]!'ai[113].RH.EN'</f>
        <v>1</v>
      </c>
      <c r="AR117" s="207">
        <f>[1]!'ai[113].RH.V'</f>
        <v>60</v>
      </c>
      <c r="AS117" s="207">
        <f>[1]!'ai[113].RH.fix'</f>
        <v>0</v>
      </c>
      <c r="AT117" s="208"/>
      <c r="AU117" s="207">
        <f>[1]!'ai[113].L.EN'</f>
        <v>0</v>
      </c>
      <c r="AV117" s="207">
        <f>[1]!'ai[113].L.V'</f>
        <v>0</v>
      </c>
      <c r="AW117" s="207">
        <f>[1]!'ai[113].L.fix'</f>
        <v>0</v>
      </c>
      <c r="AX117" s="208"/>
      <c r="AY117" s="207">
        <f>[1]!'ai[113].H.EN'</f>
        <v>0</v>
      </c>
      <c r="AZ117" s="207">
        <f>[1]!'ai[113].H.V'</f>
        <v>0</v>
      </c>
      <c r="BA117" s="207">
        <f>[1]!'ai[113].H.fix'</f>
        <v>0</v>
      </c>
      <c r="BB117" s="208"/>
      <c r="BC117" s="207">
        <f>[1]!'ai[113].LL.EN'</f>
        <v>0</v>
      </c>
      <c r="BD117" s="207">
        <f>[1]!'ai[113].LL.V'</f>
        <v>0</v>
      </c>
      <c r="BE117" s="207">
        <f>[1]!'ai[113].LL.fix'</f>
        <v>0</v>
      </c>
      <c r="BF117" s="208"/>
      <c r="BG117" s="207">
        <f>[1]!'ai[113].HH.EN'</f>
        <v>0</v>
      </c>
      <c r="BH117" s="207">
        <f>[1]!'ai[113].HH.V'</f>
        <v>0</v>
      </c>
      <c r="BI117" s="207">
        <f>[1]!'ai[113].HH.fix'</f>
        <v>0</v>
      </c>
      <c r="BJ117" s="210"/>
      <c r="BK117" s="207">
        <f>[1]!'ai[113].group'</f>
        <v>3</v>
      </c>
      <c r="BL117" s="207">
        <f>[1]!'ai[113].state'</f>
        <v>4</v>
      </c>
      <c r="BM117" s="207">
        <f>[1]!'ai[113].isInvScale'</f>
        <v>0</v>
      </c>
    </row>
    <row r="118" spans="1:65">
      <c r="A118" s="445"/>
      <c r="B118" s="446"/>
      <c r="C118" s="221">
        <v>2</v>
      </c>
      <c r="D118" s="221">
        <v>2</v>
      </c>
      <c r="E118" s="222" t="s">
        <v>369</v>
      </c>
      <c r="F118" s="222" t="s">
        <v>370</v>
      </c>
      <c r="G118" s="207">
        <f>[1]!'ai[114].ZL'</f>
        <v>0</v>
      </c>
      <c r="H118" s="207">
        <f>[1]!'ai[114].ZH'</f>
        <v>100</v>
      </c>
      <c r="I118" s="221" t="s">
        <v>366</v>
      </c>
      <c r="J118" s="207">
        <f>[1]!'ai[114].RL.V'</f>
        <v>30</v>
      </c>
      <c r="K118" s="207">
        <f>[1]!'ai[114].RH.V'</f>
        <v>50</v>
      </c>
      <c r="L118" s="207">
        <f>[1]!'ai[114].L.V'</f>
        <v>0</v>
      </c>
      <c r="M118" s="207">
        <f>[1]!'ai[114].H.V'</f>
        <v>0</v>
      </c>
      <c r="N118" s="207">
        <f>[1]!'ai[114].LL.V'</f>
        <v>0</v>
      </c>
      <c r="O118" s="207">
        <f>[1]!'ai[114].HH.V'</f>
        <v>0</v>
      </c>
      <c r="P118" s="223">
        <v>1</v>
      </c>
      <c r="Q118" s="224">
        <v>0</v>
      </c>
      <c r="R118" s="184"/>
      <c r="T118" s="207">
        <f>[1]!'ai[114].group'</f>
        <v>3</v>
      </c>
      <c r="X118" s="207">
        <f>[1]!'ai[114].EN'</f>
        <v>1</v>
      </c>
      <c r="Y118" s="207">
        <f>[1]!'ai[114].i'</f>
        <v>3.4551619999999999E-3</v>
      </c>
      <c r="Z118" s="207">
        <f>[1]!'ai[114].isForce'</f>
        <v>0</v>
      </c>
      <c r="AA118" s="207" t="e">
        <f>[1]!'ai[114].vRaw'</f>
        <v>#REF!</v>
      </c>
      <c r="AB118" s="207">
        <f>[1]!'ai[114].isCorrect'</f>
        <v>0</v>
      </c>
      <c r="AC118" s="207" t="e">
        <f>[1]!'ai[114].vCorrect'</f>
        <v>#REF!</v>
      </c>
      <c r="AD118" s="207">
        <f>[1]!'ai[114].v'</f>
        <v>0</v>
      </c>
      <c r="AE118" s="207" t="e">
        <f>[1]!'ai[114].isCut'</f>
        <v>#REF!</v>
      </c>
      <c r="AF118" s="207" t="e">
        <f>[1]!'ai[114].vCut'</f>
        <v>#REF!</v>
      </c>
      <c r="AG118" s="208"/>
      <c r="AH118" s="207">
        <f>[1]!'ai[114].break.sgn'</f>
        <v>1</v>
      </c>
      <c r="AI118" s="208"/>
      <c r="AJ118" s="207">
        <f>[1]!'ai[114].ZL'</f>
        <v>0</v>
      </c>
      <c r="AK118" s="207">
        <f>[1]!'ai[114].ZH'</f>
        <v>100</v>
      </c>
      <c r="AL118" s="208"/>
      <c r="AM118" s="207">
        <f>[1]!'ai[114].RL.EN'</f>
        <v>1</v>
      </c>
      <c r="AN118" s="207">
        <f>[1]!'ai[114].RL.V'</f>
        <v>30</v>
      </c>
      <c r="AO118" s="207">
        <f>[1]!'ai[114].RL.fix'</f>
        <v>0</v>
      </c>
      <c r="AP118" s="208"/>
      <c r="AQ118" s="207">
        <f>[1]!'ai[114].RH.EN'</f>
        <v>1</v>
      </c>
      <c r="AR118" s="207">
        <f>[1]!'ai[114].RH.V'</f>
        <v>50</v>
      </c>
      <c r="AS118" s="207">
        <f>[1]!'ai[114].RH.fix'</f>
        <v>0</v>
      </c>
      <c r="AT118" s="208"/>
      <c r="AU118" s="207">
        <f>[1]!'ai[114].L.EN'</f>
        <v>0</v>
      </c>
      <c r="AV118" s="207">
        <f>[1]!'ai[114].L.V'</f>
        <v>0</v>
      </c>
      <c r="AW118" s="207">
        <f>[1]!'ai[114].L.fix'</f>
        <v>0</v>
      </c>
      <c r="AX118" s="208"/>
      <c r="AY118" s="207">
        <f>[1]!'ai[114].H.EN'</f>
        <v>0</v>
      </c>
      <c r="AZ118" s="207">
        <f>[1]!'ai[114].H.V'</f>
        <v>0</v>
      </c>
      <c r="BA118" s="207">
        <f>[1]!'ai[114].H.fix'</f>
        <v>0</v>
      </c>
      <c r="BB118" s="208"/>
      <c r="BC118" s="207">
        <f>[1]!'ai[114].LL.EN'</f>
        <v>0</v>
      </c>
      <c r="BD118" s="207">
        <f>[1]!'ai[114].LL.V'</f>
        <v>0</v>
      </c>
      <c r="BE118" s="207">
        <f>[1]!'ai[114].LL.fix'</f>
        <v>0</v>
      </c>
      <c r="BF118" s="208"/>
      <c r="BG118" s="207">
        <f>[1]!'ai[114].HH.EN'</f>
        <v>0</v>
      </c>
      <c r="BH118" s="207">
        <f>[1]!'ai[114].HH.V'</f>
        <v>0</v>
      </c>
      <c r="BI118" s="207">
        <f>[1]!'ai[114].HH.fix'</f>
        <v>0</v>
      </c>
      <c r="BJ118" s="210"/>
      <c r="BK118" s="207">
        <f>[1]!'ai[114].group'</f>
        <v>3</v>
      </c>
      <c r="BL118" s="207">
        <f>[1]!'ai[114].state'</f>
        <v>4</v>
      </c>
      <c r="BM118" s="207">
        <f>[1]!'ai[114].isInvScale'</f>
        <v>0</v>
      </c>
    </row>
    <row r="119" spans="1:65">
      <c r="A119" s="445"/>
      <c r="B119" s="446"/>
      <c r="C119" s="221">
        <v>3</v>
      </c>
      <c r="D119" s="221">
        <v>3</v>
      </c>
      <c r="E119" s="222" t="s">
        <v>371</v>
      </c>
      <c r="F119" s="222" t="s">
        <v>372</v>
      </c>
      <c r="G119" s="207">
        <f>[1]!'ai[115].ZL'</f>
        <v>0</v>
      </c>
      <c r="H119" s="207">
        <f>[1]!'ai[115].ZH'</f>
        <v>100</v>
      </c>
      <c r="I119" s="221" t="s">
        <v>366</v>
      </c>
      <c r="J119" s="207">
        <f>[1]!'ai[115].RL.V'</f>
        <v>20</v>
      </c>
      <c r="K119" s="207">
        <f>[1]!'ai[115].RH.V'</f>
        <v>80</v>
      </c>
      <c r="L119" s="207">
        <f>[1]!'ai[115].L.V'</f>
        <v>0</v>
      </c>
      <c r="M119" s="207">
        <f>[1]!'ai[115].H.V'</f>
        <v>0</v>
      </c>
      <c r="N119" s="207">
        <f>[1]!'ai[115].LL.V'</f>
        <v>0</v>
      </c>
      <c r="O119" s="207">
        <f>[1]!'ai[115].HH.V'</f>
        <v>0</v>
      </c>
      <c r="P119" s="223">
        <v>1</v>
      </c>
      <c r="Q119" s="224">
        <v>0</v>
      </c>
      <c r="R119" s="184"/>
      <c r="T119" s="207">
        <f>[1]!'ai[115].group'</f>
        <v>3</v>
      </c>
      <c r="X119" s="207">
        <f>[1]!'ai[115].EN'</f>
        <v>1</v>
      </c>
      <c r="Y119" s="207">
        <f>[1]!'ai[115].i'</f>
        <v>3.4551619999999999E-3</v>
      </c>
      <c r="Z119" s="207">
        <f>[1]!'ai[115].isForce'</f>
        <v>0</v>
      </c>
      <c r="AA119" s="207" t="e">
        <f>[1]!'ai[115].vRaw'</f>
        <v>#REF!</v>
      </c>
      <c r="AB119" s="207">
        <f>[1]!'ai[115].isCorrect'</f>
        <v>0</v>
      </c>
      <c r="AC119" s="207" t="e">
        <f>[1]!'ai[115].vCorrect'</f>
        <v>#REF!</v>
      </c>
      <c r="AD119" s="207">
        <f>[1]!'ai[115].v'</f>
        <v>0</v>
      </c>
      <c r="AE119" s="207" t="e">
        <f>[1]!'ai[115].isCut'</f>
        <v>#REF!</v>
      </c>
      <c r="AF119" s="207" t="e">
        <f>[1]!'ai[115].vCut'</f>
        <v>#REF!</v>
      </c>
      <c r="AG119" s="208"/>
      <c r="AH119" s="207">
        <f>[1]!'ai[115].break.sgn'</f>
        <v>1</v>
      </c>
      <c r="AI119" s="208"/>
      <c r="AJ119" s="207">
        <f>[1]!'ai[115].ZL'</f>
        <v>0</v>
      </c>
      <c r="AK119" s="207">
        <f>[1]!'ai[115].ZH'</f>
        <v>100</v>
      </c>
      <c r="AL119" s="208"/>
      <c r="AM119" s="207">
        <f>[1]!'ai[115].RL.EN'</f>
        <v>1</v>
      </c>
      <c r="AN119" s="207">
        <f>[1]!'ai[115].RL.V'</f>
        <v>20</v>
      </c>
      <c r="AO119" s="207">
        <f>[1]!'ai[115].RL.fix'</f>
        <v>0</v>
      </c>
      <c r="AP119" s="208"/>
      <c r="AQ119" s="207">
        <f>[1]!'ai[115].RH.EN'</f>
        <v>1</v>
      </c>
      <c r="AR119" s="207">
        <f>[1]!'ai[115].RH.V'</f>
        <v>80</v>
      </c>
      <c r="AS119" s="207">
        <f>[1]!'ai[115].RH.fix'</f>
        <v>0</v>
      </c>
      <c r="AT119" s="208"/>
      <c r="AU119" s="207">
        <f>[1]!'ai[115].L.EN'</f>
        <v>0</v>
      </c>
      <c r="AV119" s="207">
        <f>[1]!'ai[115].L.V'</f>
        <v>0</v>
      </c>
      <c r="AW119" s="207">
        <f>[1]!'ai[115].L.fix'</f>
        <v>0</v>
      </c>
      <c r="AX119" s="208"/>
      <c r="AY119" s="207">
        <f>[1]!'ai[115].H.EN'</f>
        <v>0</v>
      </c>
      <c r="AZ119" s="207">
        <f>[1]!'ai[115].H.V'</f>
        <v>0</v>
      </c>
      <c r="BA119" s="207">
        <f>[1]!'ai[115].H.fix'</f>
        <v>0</v>
      </c>
      <c r="BB119" s="208"/>
      <c r="BC119" s="207">
        <f>[1]!'ai[115].LL.EN'</f>
        <v>0</v>
      </c>
      <c r="BD119" s="207">
        <f>[1]!'ai[115].LL.V'</f>
        <v>0</v>
      </c>
      <c r="BE119" s="207">
        <f>[1]!'ai[115].LL.fix'</f>
        <v>0</v>
      </c>
      <c r="BF119" s="208"/>
      <c r="BG119" s="207">
        <f>[1]!'ai[115].HH.EN'</f>
        <v>0</v>
      </c>
      <c r="BH119" s="207">
        <f>[1]!'ai[115].HH.V'</f>
        <v>0</v>
      </c>
      <c r="BI119" s="207">
        <f>[1]!'ai[115].HH.fix'</f>
        <v>0</v>
      </c>
      <c r="BJ119" s="210"/>
      <c r="BK119" s="207">
        <f>[1]!'ai[115].group'</f>
        <v>3</v>
      </c>
      <c r="BL119" s="207">
        <f>[1]!'ai[115].state'</f>
        <v>4</v>
      </c>
      <c r="BM119" s="207">
        <f>[1]!'ai[115].isInvScale'</f>
        <v>0</v>
      </c>
    </row>
    <row r="120" spans="1:65">
      <c r="A120" s="445"/>
      <c r="B120" s="446"/>
      <c r="C120" s="221">
        <v>4</v>
      </c>
      <c r="D120" s="221">
        <v>4</v>
      </c>
      <c r="E120" s="222" t="s">
        <v>373</v>
      </c>
      <c r="F120" s="222" t="s">
        <v>374</v>
      </c>
      <c r="G120" s="207">
        <f>[1]!'ai[116].ZL'</f>
        <v>0</v>
      </c>
      <c r="H120" s="207">
        <f>[1]!'ai[116].ZH'</f>
        <v>100</v>
      </c>
      <c r="I120" s="221" t="s">
        <v>366</v>
      </c>
      <c r="J120" s="207">
        <f>[1]!'ai[116].RL.V'</f>
        <v>20</v>
      </c>
      <c r="K120" s="207">
        <f>[1]!'ai[116].RH.V'</f>
        <v>80</v>
      </c>
      <c r="L120" s="207">
        <f>[1]!'ai[116].L.V'</f>
        <v>0</v>
      </c>
      <c r="M120" s="207">
        <f>[1]!'ai[116].H.V'</f>
        <v>0</v>
      </c>
      <c r="N120" s="207">
        <f>[1]!'ai[116].LL.V'</f>
        <v>0</v>
      </c>
      <c r="O120" s="207">
        <f>[1]!'ai[116].HH.V'</f>
        <v>0</v>
      </c>
      <c r="P120" s="223">
        <v>1</v>
      </c>
      <c r="Q120" s="224">
        <v>0</v>
      </c>
      <c r="R120" s="184"/>
      <c r="T120" s="207">
        <f>[1]!'ai[116].group'</f>
        <v>3</v>
      </c>
      <c r="X120" s="207">
        <f>[1]!'ai[116].EN'</f>
        <v>1</v>
      </c>
      <c r="Y120" s="207">
        <f>[1]!'ai[116].i'</f>
        <v>1.2559890000000001E-3</v>
      </c>
      <c r="Z120" s="207">
        <f>[1]!'ai[116].isForce'</f>
        <v>0</v>
      </c>
      <c r="AA120" s="207" t="e">
        <f>[1]!'ai[116].vRaw'</f>
        <v>#REF!</v>
      </c>
      <c r="AB120" s="207">
        <f>[1]!'ai[116].isCorrect'</f>
        <v>0</v>
      </c>
      <c r="AC120" s="207" t="e">
        <f>[1]!'ai[116].vCorrect'</f>
        <v>#REF!</v>
      </c>
      <c r="AD120" s="207">
        <f>[1]!'ai[116].v'</f>
        <v>0</v>
      </c>
      <c r="AE120" s="207" t="e">
        <f>[1]!'ai[116].isCut'</f>
        <v>#REF!</v>
      </c>
      <c r="AF120" s="207" t="e">
        <f>[1]!'ai[116].vCut'</f>
        <v>#REF!</v>
      </c>
      <c r="AG120" s="208"/>
      <c r="AH120" s="207">
        <f>[1]!'ai[116].break.sgn'</f>
        <v>1</v>
      </c>
      <c r="AI120" s="208"/>
      <c r="AJ120" s="207">
        <f>[1]!'ai[116].ZL'</f>
        <v>0</v>
      </c>
      <c r="AK120" s="207">
        <f>[1]!'ai[116].ZH'</f>
        <v>100</v>
      </c>
      <c r="AL120" s="208"/>
      <c r="AM120" s="207">
        <f>[1]!'ai[116].RL.EN'</f>
        <v>1</v>
      </c>
      <c r="AN120" s="207">
        <f>[1]!'ai[116].RL.V'</f>
        <v>20</v>
      </c>
      <c r="AO120" s="207">
        <f>[1]!'ai[116].RL.fix'</f>
        <v>0</v>
      </c>
      <c r="AP120" s="208"/>
      <c r="AQ120" s="207">
        <f>[1]!'ai[116].RH.EN'</f>
        <v>1</v>
      </c>
      <c r="AR120" s="207">
        <f>[1]!'ai[116].RH.V'</f>
        <v>80</v>
      </c>
      <c r="AS120" s="207">
        <f>[1]!'ai[116].RH.fix'</f>
        <v>0</v>
      </c>
      <c r="AT120" s="208"/>
      <c r="AU120" s="207">
        <f>[1]!'ai[116].L.EN'</f>
        <v>0</v>
      </c>
      <c r="AV120" s="207">
        <f>[1]!'ai[116].L.V'</f>
        <v>0</v>
      </c>
      <c r="AW120" s="207">
        <f>[1]!'ai[116].L.fix'</f>
        <v>0</v>
      </c>
      <c r="AX120" s="208"/>
      <c r="AY120" s="207">
        <f>[1]!'ai[116].H.EN'</f>
        <v>0</v>
      </c>
      <c r="AZ120" s="207">
        <f>[1]!'ai[116].H.V'</f>
        <v>0</v>
      </c>
      <c r="BA120" s="207">
        <f>[1]!'ai[116].H.fix'</f>
        <v>0</v>
      </c>
      <c r="BB120" s="208"/>
      <c r="BC120" s="207">
        <f>[1]!'ai[116].LL.EN'</f>
        <v>0</v>
      </c>
      <c r="BD120" s="207">
        <f>[1]!'ai[116].LL.V'</f>
        <v>0</v>
      </c>
      <c r="BE120" s="207">
        <f>[1]!'ai[116].LL.fix'</f>
        <v>0</v>
      </c>
      <c r="BF120" s="208"/>
      <c r="BG120" s="207">
        <f>[1]!'ai[116].HH.EN'</f>
        <v>0</v>
      </c>
      <c r="BH120" s="207">
        <f>[1]!'ai[116].HH.V'</f>
        <v>0</v>
      </c>
      <c r="BI120" s="207">
        <f>[1]!'ai[116].HH.fix'</f>
        <v>0</v>
      </c>
      <c r="BJ120" s="209"/>
      <c r="BK120" s="207">
        <f>[1]!'ai[116].group'</f>
        <v>3</v>
      </c>
      <c r="BL120" s="207">
        <f>[1]!'ai[116].state'</f>
        <v>4</v>
      </c>
      <c r="BM120" s="207">
        <f>[1]!'ai[116].isInvScale'</f>
        <v>0</v>
      </c>
    </row>
    <row r="121" spans="1:65">
      <c r="A121" s="445"/>
      <c r="B121" s="446"/>
      <c r="C121" s="221">
        <v>5</v>
      </c>
      <c r="D121" s="221">
        <v>5</v>
      </c>
      <c r="E121" s="222" t="s">
        <v>375</v>
      </c>
      <c r="F121" s="222" t="s">
        <v>376</v>
      </c>
      <c r="G121" s="207">
        <f>[1]!'ai[117].ZL'</f>
        <v>0</v>
      </c>
      <c r="H121" s="207">
        <f>[1]!'ai[117].ZH'</f>
        <v>100</v>
      </c>
      <c r="I121" s="221" t="s">
        <v>366</v>
      </c>
      <c r="J121" s="207">
        <f>[1]!'ai[117].RL.V'</f>
        <v>20</v>
      </c>
      <c r="K121" s="207">
        <f>[1]!'ai[117].RH.V'</f>
        <v>80</v>
      </c>
      <c r="L121" s="207">
        <f>[1]!'ai[117].L.V'</f>
        <v>0</v>
      </c>
      <c r="M121" s="207">
        <f>[1]!'ai[117].H.V'</f>
        <v>0</v>
      </c>
      <c r="N121" s="207">
        <f>[1]!'ai[117].LL.V'</f>
        <v>0</v>
      </c>
      <c r="O121" s="207">
        <f>[1]!'ai[117].HH.V'</f>
        <v>0</v>
      </c>
      <c r="P121" s="223">
        <v>1</v>
      </c>
      <c r="Q121" s="224">
        <v>0</v>
      </c>
      <c r="R121" s="184"/>
      <c r="T121" s="207">
        <f>[1]!'ai[117].group'</f>
        <v>3</v>
      </c>
      <c r="X121" s="207">
        <f>[1]!'ai[117].EN'</f>
        <v>1</v>
      </c>
      <c r="Y121" s="207">
        <f>[1]!'ai[117].i'</f>
        <v>1.570702E-3</v>
      </c>
      <c r="Z121" s="207">
        <f>[1]!'ai[117].isForce'</f>
        <v>0</v>
      </c>
      <c r="AA121" s="207" t="e">
        <f>[1]!'ai[117].vRaw'</f>
        <v>#REF!</v>
      </c>
      <c r="AB121" s="207">
        <f>[1]!'ai[117].isCorrect'</f>
        <v>0</v>
      </c>
      <c r="AC121" s="207" t="e">
        <f>[1]!'ai[117].vCorrect'</f>
        <v>#REF!</v>
      </c>
      <c r="AD121" s="207">
        <f>[1]!'ai[117].v'</f>
        <v>0</v>
      </c>
      <c r="AE121" s="207" t="e">
        <f>[1]!'ai[117].isCut'</f>
        <v>#REF!</v>
      </c>
      <c r="AF121" s="207" t="e">
        <f>[1]!'ai[117].vCut'</f>
        <v>#REF!</v>
      </c>
      <c r="AG121" s="208"/>
      <c r="AH121" s="207">
        <f>[1]!'ai[117].break.sgn'</f>
        <v>1</v>
      </c>
      <c r="AI121" s="208"/>
      <c r="AJ121" s="207">
        <f>[1]!'ai[117].ZL'</f>
        <v>0</v>
      </c>
      <c r="AK121" s="207">
        <f>[1]!'ai[117].ZH'</f>
        <v>100</v>
      </c>
      <c r="AL121" s="208"/>
      <c r="AM121" s="207">
        <f>[1]!'ai[117].RL.EN'</f>
        <v>1</v>
      </c>
      <c r="AN121" s="207">
        <f>[1]!'ai[117].RL.V'</f>
        <v>20</v>
      </c>
      <c r="AO121" s="207">
        <f>[1]!'ai[117].RL.fix'</f>
        <v>0</v>
      </c>
      <c r="AP121" s="208"/>
      <c r="AQ121" s="207">
        <f>[1]!'ai[117].RH.EN'</f>
        <v>1</v>
      </c>
      <c r="AR121" s="207">
        <f>[1]!'ai[117].RH.V'</f>
        <v>80</v>
      </c>
      <c r="AS121" s="207">
        <f>[1]!'ai[117].RH.fix'</f>
        <v>0</v>
      </c>
      <c r="AT121" s="208"/>
      <c r="AU121" s="207">
        <f>[1]!'ai[117].L.EN'</f>
        <v>0</v>
      </c>
      <c r="AV121" s="207">
        <f>[1]!'ai[117].L.V'</f>
        <v>0</v>
      </c>
      <c r="AW121" s="207">
        <f>[1]!'ai[117].L.fix'</f>
        <v>0</v>
      </c>
      <c r="AX121" s="208"/>
      <c r="AY121" s="207">
        <f>[1]!'ai[117].H.EN'</f>
        <v>0</v>
      </c>
      <c r="AZ121" s="207">
        <f>[1]!'ai[117].H.V'</f>
        <v>0</v>
      </c>
      <c r="BA121" s="207">
        <f>[1]!'ai[117].H.fix'</f>
        <v>0</v>
      </c>
      <c r="BB121" s="208"/>
      <c r="BC121" s="207">
        <f>[1]!'ai[117].LL.EN'</f>
        <v>0</v>
      </c>
      <c r="BD121" s="207">
        <f>[1]!'ai[117].LL.V'</f>
        <v>0</v>
      </c>
      <c r="BE121" s="207">
        <f>[1]!'ai[117].LL.fix'</f>
        <v>0</v>
      </c>
      <c r="BF121" s="208"/>
      <c r="BG121" s="207">
        <f>[1]!'ai[117].HH.EN'</f>
        <v>0</v>
      </c>
      <c r="BH121" s="207">
        <f>[1]!'ai[117].HH.V'</f>
        <v>0</v>
      </c>
      <c r="BI121" s="207">
        <f>[1]!'ai[117].HH.fix'</f>
        <v>0</v>
      </c>
      <c r="BJ121" s="209"/>
      <c r="BK121" s="207">
        <f>[1]!'ai[117].group'</f>
        <v>3</v>
      </c>
      <c r="BL121" s="207">
        <f>[1]!'ai[117].state'</f>
        <v>4</v>
      </c>
      <c r="BM121" s="207">
        <f>[1]!'ai[117].isInvScale'</f>
        <v>0</v>
      </c>
    </row>
    <row r="122" spans="1:65">
      <c r="A122" s="445"/>
      <c r="B122" s="446"/>
      <c r="C122" s="221">
        <v>6</v>
      </c>
      <c r="D122" s="221">
        <v>6</v>
      </c>
      <c r="E122" s="222" t="s">
        <v>377</v>
      </c>
      <c r="F122" s="222" t="s">
        <v>378</v>
      </c>
      <c r="G122" s="207">
        <f>[1]!'ai[118].ZL'</f>
        <v>0</v>
      </c>
      <c r="H122" s="207">
        <f>[1]!'ai[118].ZH'</f>
        <v>100</v>
      </c>
      <c r="I122" s="221" t="s">
        <v>366</v>
      </c>
      <c r="J122" s="207">
        <f>[1]!'ai[118].RL.V'</f>
        <v>20</v>
      </c>
      <c r="K122" s="207">
        <f>[1]!'ai[118].RH.V'</f>
        <v>80</v>
      </c>
      <c r="L122" s="207">
        <f>[1]!'ai[118].L.V'</f>
        <v>0</v>
      </c>
      <c r="M122" s="207">
        <f>[1]!'ai[118].H.V'</f>
        <v>0</v>
      </c>
      <c r="N122" s="207">
        <f>[1]!'ai[118].LL.V'</f>
        <v>0</v>
      </c>
      <c r="O122" s="207">
        <f>[1]!'ai[118].HH.V'</f>
        <v>0</v>
      </c>
      <c r="P122" s="223">
        <v>1</v>
      </c>
      <c r="Q122" s="224">
        <v>0</v>
      </c>
      <c r="R122" s="184"/>
      <c r="T122" s="207">
        <f>[1]!'ai[118].group'</f>
        <v>3</v>
      </c>
      <c r="X122" s="207">
        <f>[1]!'ai[118].EN'</f>
        <v>1</v>
      </c>
      <c r="Y122" s="207">
        <f>[1]!'ai[118].i'</f>
        <v>1.570702E-3</v>
      </c>
      <c r="Z122" s="207">
        <f>[1]!'ai[118].isForce'</f>
        <v>0</v>
      </c>
      <c r="AA122" s="207" t="e">
        <f>[1]!'ai[118].vRaw'</f>
        <v>#REF!</v>
      </c>
      <c r="AB122" s="207">
        <f>[1]!'ai[118].isCorrect'</f>
        <v>0</v>
      </c>
      <c r="AC122" s="207" t="e">
        <f>[1]!'ai[118].vCorrect'</f>
        <v>#REF!</v>
      </c>
      <c r="AD122" s="207">
        <f>[1]!'ai[118].v'</f>
        <v>0</v>
      </c>
      <c r="AE122" s="207" t="e">
        <f>[1]!'ai[118].isCut'</f>
        <v>#REF!</v>
      </c>
      <c r="AF122" s="207" t="e">
        <f>[1]!'ai[118].vCut'</f>
        <v>#REF!</v>
      </c>
      <c r="AG122" s="208"/>
      <c r="AH122" s="207">
        <f>[1]!'ai[118].break.sgn'</f>
        <v>1</v>
      </c>
      <c r="AI122" s="208"/>
      <c r="AJ122" s="207">
        <f>[1]!'ai[118].ZL'</f>
        <v>0</v>
      </c>
      <c r="AK122" s="207">
        <f>[1]!'ai[118].ZH'</f>
        <v>100</v>
      </c>
      <c r="AL122" s="208"/>
      <c r="AM122" s="207">
        <f>[1]!'ai[118].RL.EN'</f>
        <v>1</v>
      </c>
      <c r="AN122" s="207">
        <f>[1]!'ai[118].RL.V'</f>
        <v>20</v>
      </c>
      <c r="AO122" s="207">
        <f>[1]!'ai[118].RL.fix'</f>
        <v>0</v>
      </c>
      <c r="AP122" s="208"/>
      <c r="AQ122" s="207">
        <f>[1]!'ai[118].RH.EN'</f>
        <v>1</v>
      </c>
      <c r="AR122" s="207">
        <f>[1]!'ai[118].RH.V'</f>
        <v>80</v>
      </c>
      <c r="AS122" s="207">
        <f>[1]!'ai[118].RH.fix'</f>
        <v>0</v>
      </c>
      <c r="AT122" s="208"/>
      <c r="AU122" s="207">
        <f>[1]!'ai[118].L.EN'</f>
        <v>0</v>
      </c>
      <c r="AV122" s="207">
        <f>[1]!'ai[118].L.V'</f>
        <v>0</v>
      </c>
      <c r="AW122" s="207">
        <f>[1]!'ai[118].L.fix'</f>
        <v>0</v>
      </c>
      <c r="AX122" s="208"/>
      <c r="AY122" s="207">
        <f>[1]!'ai[118].H.EN'</f>
        <v>0</v>
      </c>
      <c r="AZ122" s="207">
        <f>[1]!'ai[118].H.V'</f>
        <v>0</v>
      </c>
      <c r="BA122" s="207">
        <f>[1]!'ai[118].H.fix'</f>
        <v>0</v>
      </c>
      <c r="BB122" s="208"/>
      <c r="BC122" s="207">
        <f>[1]!'ai[118].LL.EN'</f>
        <v>0</v>
      </c>
      <c r="BD122" s="207">
        <f>[1]!'ai[118].LL.V'</f>
        <v>0</v>
      </c>
      <c r="BE122" s="207">
        <f>[1]!'ai[118].LL.fix'</f>
        <v>0</v>
      </c>
      <c r="BF122" s="208"/>
      <c r="BG122" s="207">
        <f>[1]!'ai[118].HH.EN'</f>
        <v>0</v>
      </c>
      <c r="BH122" s="207">
        <f>[1]!'ai[118].HH.V'</f>
        <v>0</v>
      </c>
      <c r="BI122" s="207">
        <f>[1]!'ai[118].HH.fix'</f>
        <v>0</v>
      </c>
      <c r="BJ122" s="209"/>
      <c r="BK122" s="207">
        <f>[1]!'ai[118].group'</f>
        <v>3</v>
      </c>
      <c r="BL122" s="207">
        <f>[1]!'ai[118].state'</f>
        <v>4</v>
      </c>
      <c r="BM122" s="207">
        <f>[1]!'ai[118].isInvScale'</f>
        <v>0</v>
      </c>
    </row>
    <row r="123" spans="1:65">
      <c r="A123" s="445"/>
      <c r="B123" s="446"/>
      <c r="C123" s="221">
        <v>7</v>
      </c>
      <c r="D123" s="221">
        <v>7</v>
      </c>
      <c r="E123" s="222" t="s">
        <v>379</v>
      </c>
      <c r="F123" s="222" t="s">
        <v>380</v>
      </c>
      <c r="G123" s="207">
        <f>[1]!'ai[119].ZL'</f>
        <v>0</v>
      </c>
      <c r="H123" s="207">
        <f>[1]!'ai[119].ZH'</f>
        <v>100</v>
      </c>
      <c r="I123" s="221" t="s">
        <v>366</v>
      </c>
      <c r="J123" s="207">
        <f>[1]!'ai[119].RL.V'</f>
        <v>20</v>
      </c>
      <c r="K123" s="207">
        <f>[1]!'ai[119].RH.V'</f>
        <v>80</v>
      </c>
      <c r="L123" s="207">
        <f>[1]!'ai[119].L.V'</f>
        <v>0</v>
      </c>
      <c r="M123" s="207">
        <f>[1]!'ai[119].H.V'</f>
        <v>0</v>
      </c>
      <c r="N123" s="207">
        <f>[1]!'ai[119].LL.V'</f>
        <v>0</v>
      </c>
      <c r="O123" s="207">
        <f>[1]!'ai[119].HH.V'</f>
        <v>0</v>
      </c>
      <c r="P123" s="223">
        <v>1</v>
      </c>
      <c r="Q123" s="224">
        <v>0</v>
      </c>
      <c r="R123" s="184"/>
      <c r="T123" s="207">
        <f>[1]!'ai[119].group'</f>
        <v>3</v>
      </c>
      <c r="X123" s="207">
        <f>[1]!'ai[119].EN'</f>
        <v>1</v>
      </c>
      <c r="Y123" s="207">
        <f>[1]!'ai[119].i'</f>
        <v>1.570702E-3</v>
      </c>
      <c r="Z123" s="207">
        <f>[1]!'ai[119].isForce'</f>
        <v>0</v>
      </c>
      <c r="AA123" s="207" t="e">
        <f>[1]!'ai[119].vRaw'</f>
        <v>#REF!</v>
      </c>
      <c r="AB123" s="207">
        <f>[1]!'ai[119].isCorrect'</f>
        <v>0</v>
      </c>
      <c r="AC123" s="207" t="e">
        <f>[1]!'ai[119].vCorrect'</f>
        <v>#REF!</v>
      </c>
      <c r="AD123" s="207">
        <f>[1]!'ai[119].v'</f>
        <v>0</v>
      </c>
      <c r="AE123" s="207" t="e">
        <f>[1]!'ai[119].isCut'</f>
        <v>#REF!</v>
      </c>
      <c r="AF123" s="207" t="e">
        <f>[1]!'ai[119].vCut'</f>
        <v>#REF!</v>
      </c>
      <c r="AG123" s="208"/>
      <c r="AH123" s="207">
        <f>[1]!'ai[119].break.sgn'</f>
        <v>1</v>
      </c>
      <c r="AI123" s="208"/>
      <c r="AJ123" s="207">
        <f>[1]!'ai[119].ZL'</f>
        <v>0</v>
      </c>
      <c r="AK123" s="207">
        <f>[1]!'ai[119].ZH'</f>
        <v>100</v>
      </c>
      <c r="AL123" s="208"/>
      <c r="AM123" s="207">
        <f>[1]!'ai[119].RL.EN'</f>
        <v>1</v>
      </c>
      <c r="AN123" s="207">
        <f>[1]!'ai[119].RL.V'</f>
        <v>20</v>
      </c>
      <c r="AO123" s="207">
        <f>[1]!'ai[119].RL.fix'</f>
        <v>0</v>
      </c>
      <c r="AP123" s="208"/>
      <c r="AQ123" s="207">
        <f>[1]!'ai[119].RH.EN'</f>
        <v>1</v>
      </c>
      <c r="AR123" s="207">
        <f>[1]!'ai[119].RH.V'</f>
        <v>80</v>
      </c>
      <c r="AS123" s="207">
        <f>[1]!'ai[119].RH.fix'</f>
        <v>0</v>
      </c>
      <c r="AT123" s="208"/>
      <c r="AU123" s="207">
        <f>[1]!'ai[119].L.EN'</f>
        <v>0</v>
      </c>
      <c r="AV123" s="207">
        <f>[1]!'ai[119].L.V'</f>
        <v>0</v>
      </c>
      <c r="AW123" s="207">
        <f>[1]!'ai[119].L.fix'</f>
        <v>0</v>
      </c>
      <c r="AX123" s="208"/>
      <c r="AY123" s="207">
        <f>[1]!'ai[119].H.EN'</f>
        <v>0</v>
      </c>
      <c r="AZ123" s="207">
        <f>[1]!'ai[119].H.V'</f>
        <v>0</v>
      </c>
      <c r="BA123" s="207">
        <f>[1]!'ai[119].H.fix'</f>
        <v>0</v>
      </c>
      <c r="BB123" s="208"/>
      <c r="BC123" s="207">
        <f>[1]!'ai[119].LL.EN'</f>
        <v>0</v>
      </c>
      <c r="BD123" s="207">
        <f>[1]!'ai[119].LL.V'</f>
        <v>0</v>
      </c>
      <c r="BE123" s="207">
        <f>[1]!'ai[119].LL.fix'</f>
        <v>0</v>
      </c>
      <c r="BF123" s="208"/>
      <c r="BG123" s="207">
        <f>[1]!'ai[119].HH.EN'</f>
        <v>0</v>
      </c>
      <c r="BH123" s="207">
        <f>[1]!'ai[119].HH.V'</f>
        <v>0</v>
      </c>
      <c r="BI123" s="207">
        <f>[1]!'ai[119].HH.fix'</f>
        <v>0</v>
      </c>
      <c r="BJ123" s="209"/>
      <c r="BK123" s="207">
        <f>[1]!'ai[119].group'</f>
        <v>3</v>
      </c>
      <c r="BL123" s="207">
        <f>[1]!'ai[119].state'</f>
        <v>4</v>
      </c>
      <c r="BM123" s="207">
        <f>[1]!'ai[119].isInvScale'</f>
        <v>0</v>
      </c>
    </row>
    <row r="124" spans="1:65">
      <c r="A124" s="445"/>
      <c r="B124" s="446"/>
      <c r="C124" s="221">
        <v>8</v>
      </c>
      <c r="D124" s="221">
        <v>8</v>
      </c>
      <c r="E124" s="222" t="s">
        <v>381</v>
      </c>
      <c r="F124" s="222" t="s">
        <v>382</v>
      </c>
      <c r="G124" s="207">
        <f>[1]!'ai[120].ZL'</f>
        <v>0</v>
      </c>
      <c r="H124" s="207">
        <f>[1]!'ai[120].ZH'</f>
        <v>100</v>
      </c>
      <c r="I124" s="221" t="s">
        <v>383</v>
      </c>
      <c r="J124" s="207">
        <f>[1]!'ai[120].RL.V'</f>
        <v>20</v>
      </c>
      <c r="K124" s="207">
        <f>[1]!'ai[120].RH.V'</f>
        <v>80</v>
      </c>
      <c r="L124" s="207">
        <f>[1]!'ai[120].L.V'</f>
        <v>0</v>
      </c>
      <c r="M124" s="207">
        <f>[1]!'ai[120].H.V'</f>
        <v>0</v>
      </c>
      <c r="N124" s="207">
        <f>[1]!'ai[120].LL.V'</f>
        <v>0</v>
      </c>
      <c r="O124" s="207">
        <f>[1]!'ai[120].HH.V'</f>
        <v>0</v>
      </c>
      <c r="P124" s="223">
        <v>1</v>
      </c>
      <c r="Q124" s="224"/>
      <c r="R124" s="184"/>
      <c r="T124" s="207">
        <f>[1]!'ai[120].group'</f>
        <v>3</v>
      </c>
      <c r="X124" s="207">
        <f>[1]!'ai[120].EN'</f>
        <v>1</v>
      </c>
      <c r="Y124" s="207">
        <f>[1]!'ai[120].i'</f>
        <v>1.2559890000000001E-3</v>
      </c>
      <c r="Z124" s="207">
        <f>[1]!'ai[120].isForce'</f>
        <v>0</v>
      </c>
      <c r="AA124" s="207" t="e">
        <f>[1]!'ai[120].vRaw'</f>
        <v>#REF!</v>
      </c>
      <c r="AB124" s="207">
        <f>[1]!'ai[120].isCorrect'</f>
        <v>0</v>
      </c>
      <c r="AC124" s="207" t="e">
        <f>[1]!'ai[120].vCorrect'</f>
        <v>#REF!</v>
      </c>
      <c r="AD124" s="207">
        <f>[1]!'ai[120].v'</f>
        <v>0</v>
      </c>
      <c r="AE124" s="207" t="e">
        <f>[1]!'ai[120].isCut'</f>
        <v>#REF!</v>
      </c>
      <c r="AF124" s="207" t="e">
        <f>[1]!'ai[120].vCut'</f>
        <v>#REF!</v>
      </c>
      <c r="AG124" s="208"/>
      <c r="AH124" s="207">
        <f>[1]!'ai[120].break.sgn'</f>
        <v>1</v>
      </c>
      <c r="AI124" s="208"/>
      <c r="AJ124" s="207">
        <f>[1]!'ai[120].ZL'</f>
        <v>0</v>
      </c>
      <c r="AK124" s="207">
        <f>[1]!'ai[120].ZH'</f>
        <v>100</v>
      </c>
      <c r="AL124" s="208"/>
      <c r="AM124" s="207">
        <f>[1]!'ai[120].RL.EN'</f>
        <v>1</v>
      </c>
      <c r="AN124" s="207">
        <f>[1]!'ai[120].RL.V'</f>
        <v>20</v>
      </c>
      <c r="AO124" s="207">
        <f>[1]!'ai[120].RL.fix'</f>
        <v>0</v>
      </c>
      <c r="AP124" s="208"/>
      <c r="AQ124" s="207">
        <f>[1]!'ai[120].RH.EN'</f>
        <v>1</v>
      </c>
      <c r="AR124" s="207">
        <f>[1]!'ai[120].RH.V'</f>
        <v>80</v>
      </c>
      <c r="AS124" s="207">
        <f>[1]!'ai[120].RH.fix'</f>
        <v>0</v>
      </c>
      <c r="AT124" s="208"/>
      <c r="AU124" s="207">
        <f>[1]!'ai[120].L.EN'</f>
        <v>0</v>
      </c>
      <c r="AV124" s="207">
        <f>[1]!'ai[120].L.V'</f>
        <v>0</v>
      </c>
      <c r="AW124" s="207">
        <f>[1]!'ai[120].L.fix'</f>
        <v>0</v>
      </c>
      <c r="AX124" s="208"/>
      <c r="AY124" s="207">
        <f>[1]!'ai[120].H.EN'</f>
        <v>0</v>
      </c>
      <c r="AZ124" s="207">
        <f>[1]!'ai[120].H.V'</f>
        <v>0</v>
      </c>
      <c r="BA124" s="207">
        <f>[1]!'ai[120].H.fix'</f>
        <v>0</v>
      </c>
      <c r="BB124" s="208"/>
      <c r="BC124" s="207">
        <f>[1]!'ai[120].LL.EN'</f>
        <v>0</v>
      </c>
      <c r="BD124" s="207">
        <f>[1]!'ai[120].LL.V'</f>
        <v>0</v>
      </c>
      <c r="BE124" s="207">
        <f>[1]!'ai[120].LL.fix'</f>
        <v>0</v>
      </c>
      <c r="BF124" s="208"/>
      <c r="BG124" s="207">
        <f>[1]!'ai[120].HH.EN'</f>
        <v>0</v>
      </c>
      <c r="BH124" s="207">
        <f>[1]!'ai[120].HH.V'</f>
        <v>0</v>
      </c>
      <c r="BI124" s="207">
        <f>[1]!'ai[120].HH.fix'</f>
        <v>0</v>
      </c>
      <c r="BJ124" s="210"/>
      <c r="BK124" s="207">
        <f>[1]!'ai[120].group'</f>
        <v>3</v>
      </c>
      <c r="BL124" s="207">
        <f>[1]!'ai[120].state'</f>
        <v>4</v>
      </c>
      <c r="BM124" s="207">
        <f>[1]!'ai[120].isInvScale'</f>
        <v>0</v>
      </c>
    </row>
    <row r="125" spans="1:65">
      <c r="A125" s="445"/>
      <c r="B125" s="446"/>
      <c r="C125" s="221">
        <v>9</v>
      </c>
      <c r="D125" s="221">
        <v>9</v>
      </c>
      <c r="E125" s="222" t="s">
        <v>384</v>
      </c>
      <c r="F125" s="222" t="s">
        <v>385</v>
      </c>
      <c r="G125" s="207">
        <f>[1]!'ai[121].ZL'</f>
        <v>0</v>
      </c>
      <c r="H125" s="207">
        <f>[1]!'ai[121].ZH'</f>
        <v>300</v>
      </c>
      <c r="I125" s="221" t="s">
        <v>383</v>
      </c>
      <c r="J125" s="207">
        <f>[1]!'ai[121].RL.V'</f>
        <v>160</v>
      </c>
      <c r="K125" s="207">
        <f>[1]!'ai[121].RH.V'</f>
        <v>170</v>
      </c>
      <c r="L125" s="207">
        <f>[1]!'ai[121].L.V'</f>
        <v>0</v>
      </c>
      <c r="M125" s="207">
        <f>[1]!'ai[121].H.V'</f>
        <v>0</v>
      </c>
      <c r="N125" s="207">
        <f>[1]!'ai[121].LL.V'</f>
        <v>0</v>
      </c>
      <c r="O125" s="207">
        <f>[1]!'ai[121].HH.V'</f>
        <v>0</v>
      </c>
      <c r="P125" s="223">
        <v>1</v>
      </c>
      <c r="Q125" s="224"/>
      <c r="R125" s="184"/>
      <c r="T125" s="207">
        <f>[1]!'ai[121].group'</f>
        <v>3</v>
      </c>
      <c r="X125" s="207">
        <f>[1]!'ai[121].EN'</f>
        <v>1</v>
      </c>
      <c r="Y125" s="207">
        <f>[1]!'ai[121].i'</f>
        <v>1.570702E-3</v>
      </c>
      <c r="Z125" s="207">
        <f>[1]!'ai[121].isForce'</f>
        <v>0</v>
      </c>
      <c r="AA125" s="207" t="e">
        <f>[1]!'ai[121].vRaw'</f>
        <v>#REF!</v>
      </c>
      <c r="AB125" s="207">
        <f>[1]!'ai[121].isCorrect'</f>
        <v>0</v>
      </c>
      <c r="AC125" s="207" t="e">
        <f>[1]!'ai[121].vCorrect'</f>
        <v>#REF!</v>
      </c>
      <c r="AD125" s="207">
        <f>[1]!'ai[121].v'</f>
        <v>0</v>
      </c>
      <c r="AE125" s="207" t="e">
        <f>[1]!'ai[121].isCut'</f>
        <v>#REF!</v>
      </c>
      <c r="AF125" s="207" t="e">
        <f>[1]!'ai[121].vCut'</f>
        <v>#REF!</v>
      </c>
      <c r="AG125" s="208"/>
      <c r="AH125" s="207">
        <f>[1]!'ai[121].break.sgn'</f>
        <v>1</v>
      </c>
      <c r="AI125" s="208"/>
      <c r="AJ125" s="207">
        <f>[1]!'ai[121].ZL'</f>
        <v>0</v>
      </c>
      <c r="AK125" s="207">
        <f>[1]!'ai[121].ZH'</f>
        <v>300</v>
      </c>
      <c r="AL125" s="208"/>
      <c r="AM125" s="207">
        <f>[1]!'ai[121].RL.EN'</f>
        <v>1</v>
      </c>
      <c r="AN125" s="207">
        <f>[1]!'ai[121].RL.V'</f>
        <v>160</v>
      </c>
      <c r="AO125" s="207">
        <f>[1]!'ai[121].RL.fix'</f>
        <v>0</v>
      </c>
      <c r="AP125" s="208"/>
      <c r="AQ125" s="207">
        <f>[1]!'ai[121].RH.EN'</f>
        <v>1</v>
      </c>
      <c r="AR125" s="207">
        <f>[1]!'ai[121].RH.V'</f>
        <v>170</v>
      </c>
      <c r="AS125" s="207">
        <f>[1]!'ai[121].RH.fix'</f>
        <v>0</v>
      </c>
      <c r="AT125" s="208"/>
      <c r="AU125" s="207">
        <f>[1]!'ai[121].L.EN'</f>
        <v>0</v>
      </c>
      <c r="AV125" s="207">
        <f>[1]!'ai[121].L.V'</f>
        <v>0</v>
      </c>
      <c r="AW125" s="207">
        <f>[1]!'ai[121].L.fix'</f>
        <v>0</v>
      </c>
      <c r="AX125" s="208"/>
      <c r="AY125" s="207">
        <f>[1]!'ai[121].H.EN'</f>
        <v>0</v>
      </c>
      <c r="AZ125" s="207">
        <f>[1]!'ai[121].H.V'</f>
        <v>0</v>
      </c>
      <c r="BA125" s="207">
        <f>[1]!'ai[121].H.fix'</f>
        <v>0</v>
      </c>
      <c r="BB125" s="208"/>
      <c r="BC125" s="207">
        <f>[1]!'ai[121].LL.EN'</f>
        <v>0</v>
      </c>
      <c r="BD125" s="207">
        <f>[1]!'ai[121].LL.V'</f>
        <v>0</v>
      </c>
      <c r="BE125" s="207">
        <f>[1]!'ai[121].LL.fix'</f>
        <v>0</v>
      </c>
      <c r="BF125" s="208"/>
      <c r="BG125" s="207">
        <f>[1]!'ai[121].HH.EN'</f>
        <v>0</v>
      </c>
      <c r="BH125" s="207">
        <f>[1]!'ai[121].HH.V'</f>
        <v>0</v>
      </c>
      <c r="BI125" s="207">
        <f>[1]!'ai[121].HH.fix'</f>
        <v>0</v>
      </c>
      <c r="BJ125" s="210"/>
      <c r="BK125" s="207">
        <f>[1]!'ai[121].group'</f>
        <v>3</v>
      </c>
      <c r="BL125" s="207">
        <f>[1]!'ai[121].state'</f>
        <v>4</v>
      </c>
      <c r="BM125" s="207">
        <f>[1]!'ai[121].isInvScale'</f>
        <v>0</v>
      </c>
    </row>
    <row r="126" spans="1:65">
      <c r="A126" s="445"/>
      <c r="B126" s="446"/>
      <c r="C126" s="221">
        <v>10</v>
      </c>
      <c r="D126" s="221">
        <v>10</v>
      </c>
      <c r="E126" s="222" t="s">
        <v>386</v>
      </c>
      <c r="F126" s="222" t="s">
        <v>387</v>
      </c>
      <c r="G126" s="207">
        <f>[1]!'ai[122].ZL'</f>
        <v>0</v>
      </c>
      <c r="H126" s="207">
        <f>[1]!'ai[122].ZH'</f>
        <v>300</v>
      </c>
      <c r="I126" s="221" t="s">
        <v>366</v>
      </c>
      <c r="J126" s="207">
        <f>[1]!'ai[122].RL.V'</f>
        <v>160</v>
      </c>
      <c r="K126" s="207">
        <f>[1]!'ai[122].RH.V'</f>
        <v>170</v>
      </c>
      <c r="L126" s="207">
        <f>[1]!'ai[122].L.V'</f>
        <v>0</v>
      </c>
      <c r="M126" s="207">
        <f>[1]!'ai[122].H.V'</f>
        <v>0</v>
      </c>
      <c r="N126" s="207">
        <f>[1]!'ai[122].LL.V'</f>
        <v>0</v>
      </c>
      <c r="O126" s="207">
        <f>[1]!'ai[122].HH.V'</f>
        <v>0</v>
      </c>
      <c r="P126" s="223">
        <v>4</v>
      </c>
      <c r="Q126" s="224">
        <v>3</v>
      </c>
      <c r="R126" s="184"/>
      <c r="T126" s="207">
        <f>[1]!'ai[122].group'</f>
        <v>3</v>
      </c>
      <c r="X126" s="207">
        <f>[1]!'ai[122].EN'</f>
        <v>1</v>
      </c>
      <c r="Y126" s="207">
        <f>[1]!'ai[122].i'</f>
        <v>1.570702E-3</v>
      </c>
      <c r="Z126" s="207">
        <f>[1]!'ai[122].isForce'</f>
        <v>0</v>
      </c>
      <c r="AA126" s="207" t="e">
        <f>[1]!'ai[122].vRaw'</f>
        <v>#REF!</v>
      </c>
      <c r="AB126" s="207">
        <f>[1]!'ai[122].isCorrect'</f>
        <v>0</v>
      </c>
      <c r="AC126" s="207" t="e">
        <f>[1]!'ai[122].vCorrect'</f>
        <v>#REF!</v>
      </c>
      <c r="AD126" s="207">
        <f>[1]!'ai[122].v'</f>
        <v>0</v>
      </c>
      <c r="AE126" s="207" t="e">
        <f>[1]!'ai[122].isCut'</f>
        <v>#REF!</v>
      </c>
      <c r="AF126" s="207" t="e">
        <f>[1]!'ai[122].vCut'</f>
        <v>#REF!</v>
      </c>
      <c r="AG126" s="208"/>
      <c r="AH126" s="207">
        <f>[1]!'ai[122].break.sgn'</f>
        <v>1</v>
      </c>
      <c r="AI126" s="208"/>
      <c r="AJ126" s="207">
        <f>[1]!'ai[122].ZL'</f>
        <v>0</v>
      </c>
      <c r="AK126" s="207">
        <f>[1]!'ai[122].ZH'</f>
        <v>300</v>
      </c>
      <c r="AL126" s="208"/>
      <c r="AM126" s="207">
        <f>[1]!'ai[122].RL.EN'</f>
        <v>1</v>
      </c>
      <c r="AN126" s="207">
        <f>[1]!'ai[122].RL.V'</f>
        <v>160</v>
      </c>
      <c r="AO126" s="207">
        <f>[1]!'ai[122].RL.fix'</f>
        <v>0</v>
      </c>
      <c r="AP126" s="208"/>
      <c r="AQ126" s="207">
        <f>[1]!'ai[122].RH.EN'</f>
        <v>1</v>
      </c>
      <c r="AR126" s="207">
        <f>[1]!'ai[122].RH.V'</f>
        <v>170</v>
      </c>
      <c r="AS126" s="207">
        <f>[1]!'ai[122].RH.fix'</f>
        <v>0</v>
      </c>
      <c r="AT126" s="208"/>
      <c r="AU126" s="207">
        <f>[1]!'ai[122].L.EN'</f>
        <v>0</v>
      </c>
      <c r="AV126" s="207">
        <f>[1]!'ai[122].L.V'</f>
        <v>0</v>
      </c>
      <c r="AW126" s="207">
        <f>[1]!'ai[122].L.fix'</f>
        <v>0</v>
      </c>
      <c r="AX126" s="208"/>
      <c r="AY126" s="207">
        <f>[1]!'ai[122].H.EN'</f>
        <v>0</v>
      </c>
      <c r="AZ126" s="207">
        <f>[1]!'ai[122].H.V'</f>
        <v>0</v>
      </c>
      <c r="BA126" s="207">
        <f>[1]!'ai[122].H.fix'</f>
        <v>0</v>
      </c>
      <c r="BB126" s="208"/>
      <c r="BC126" s="207">
        <f>[1]!'ai[122].LL.EN'</f>
        <v>0</v>
      </c>
      <c r="BD126" s="207">
        <f>[1]!'ai[122].LL.V'</f>
        <v>0</v>
      </c>
      <c r="BE126" s="207">
        <f>[1]!'ai[122].LL.fix'</f>
        <v>0</v>
      </c>
      <c r="BF126" s="208"/>
      <c r="BG126" s="207">
        <f>[1]!'ai[122].HH.EN'</f>
        <v>0</v>
      </c>
      <c r="BH126" s="207">
        <f>[1]!'ai[122].HH.V'</f>
        <v>0</v>
      </c>
      <c r="BI126" s="207">
        <f>[1]!'ai[122].HH.fix'</f>
        <v>0</v>
      </c>
      <c r="BJ126" s="210"/>
      <c r="BK126" s="207">
        <f>[1]!'ai[122].group'</f>
        <v>3</v>
      </c>
      <c r="BL126" s="207">
        <f>[1]!'ai[122].state'</f>
        <v>4</v>
      </c>
      <c r="BM126" s="207">
        <f>[1]!'ai[122].isInvScale'</f>
        <v>0</v>
      </c>
    </row>
    <row r="127" spans="1:65">
      <c r="A127" s="445"/>
      <c r="B127" s="446"/>
      <c r="C127" s="221">
        <v>11</v>
      </c>
      <c r="D127" s="221">
        <v>11</v>
      </c>
      <c r="E127" s="222" t="s">
        <v>388</v>
      </c>
      <c r="F127" s="222" t="s">
        <v>389</v>
      </c>
      <c r="G127" s="207">
        <f>[1]!'ai[123].ZL'</f>
        <v>0</v>
      </c>
      <c r="H127" s="207">
        <f>[1]!'ai[123].ZH'</f>
        <v>300</v>
      </c>
      <c r="I127" s="221" t="s">
        <v>366</v>
      </c>
      <c r="J127" s="207">
        <f>[1]!'ai[123].RL.V'</f>
        <v>160</v>
      </c>
      <c r="K127" s="207">
        <f>[1]!'ai[123].RH.V'</f>
        <v>170</v>
      </c>
      <c r="L127" s="207">
        <f>[1]!'ai[123].L.V'</f>
        <v>0</v>
      </c>
      <c r="M127" s="207">
        <f>[1]!'ai[123].H.V'</f>
        <v>0</v>
      </c>
      <c r="N127" s="207">
        <f>[1]!'ai[123].LL.V'</f>
        <v>0</v>
      </c>
      <c r="O127" s="207">
        <f>[1]!'ai[123].HH.V'</f>
        <v>0</v>
      </c>
      <c r="P127" s="223">
        <v>4</v>
      </c>
      <c r="Q127" s="224">
        <v>3</v>
      </c>
      <c r="R127" s="184"/>
      <c r="T127" s="207">
        <f>[1]!'ai[123].group'</f>
        <v>3</v>
      </c>
      <c r="X127" s="207">
        <f>[1]!'ai[123].EN'</f>
        <v>1</v>
      </c>
      <c r="Y127" s="207">
        <f>[1]!'ai[123].i'</f>
        <v>1.2559890000000001E-3</v>
      </c>
      <c r="Z127" s="207">
        <f>[1]!'ai[123].isForce'</f>
        <v>0</v>
      </c>
      <c r="AA127" s="207" t="e">
        <f>[1]!'ai[123].vRaw'</f>
        <v>#REF!</v>
      </c>
      <c r="AB127" s="207">
        <f>[1]!'ai[123].isCorrect'</f>
        <v>0</v>
      </c>
      <c r="AC127" s="207" t="e">
        <f>[1]!'ai[123].vCorrect'</f>
        <v>#REF!</v>
      </c>
      <c r="AD127" s="207">
        <f>[1]!'ai[123].v'</f>
        <v>0</v>
      </c>
      <c r="AE127" s="207" t="e">
        <f>[1]!'ai[123].isCut'</f>
        <v>#REF!</v>
      </c>
      <c r="AF127" s="207" t="e">
        <f>[1]!'ai[123].vCut'</f>
        <v>#REF!</v>
      </c>
      <c r="AG127" s="208"/>
      <c r="AH127" s="207">
        <f>[1]!'ai[123].break.sgn'</f>
        <v>1</v>
      </c>
      <c r="AI127" s="208"/>
      <c r="AJ127" s="207">
        <f>[1]!'ai[123].ZL'</f>
        <v>0</v>
      </c>
      <c r="AK127" s="207">
        <f>[1]!'ai[123].ZH'</f>
        <v>300</v>
      </c>
      <c r="AL127" s="208"/>
      <c r="AM127" s="207">
        <f>[1]!'ai[123].RL.EN'</f>
        <v>1</v>
      </c>
      <c r="AN127" s="207">
        <f>[1]!'ai[123].RL.V'</f>
        <v>160</v>
      </c>
      <c r="AO127" s="207">
        <f>[1]!'ai[123].RL.fix'</f>
        <v>0</v>
      </c>
      <c r="AP127" s="208"/>
      <c r="AQ127" s="207">
        <f>[1]!'ai[123].RH.EN'</f>
        <v>1</v>
      </c>
      <c r="AR127" s="207">
        <f>[1]!'ai[123].RH.V'</f>
        <v>170</v>
      </c>
      <c r="AS127" s="207">
        <f>[1]!'ai[123].RH.fix'</f>
        <v>0</v>
      </c>
      <c r="AT127" s="208"/>
      <c r="AU127" s="207">
        <f>[1]!'ai[123].L.EN'</f>
        <v>0</v>
      </c>
      <c r="AV127" s="207">
        <f>[1]!'ai[123].L.V'</f>
        <v>0</v>
      </c>
      <c r="AW127" s="207">
        <f>[1]!'ai[123].L.fix'</f>
        <v>0</v>
      </c>
      <c r="AX127" s="208"/>
      <c r="AY127" s="207">
        <f>[1]!'ai[123].H.EN'</f>
        <v>0</v>
      </c>
      <c r="AZ127" s="207">
        <f>[1]!'ai[123].H.V'</f>
        <v>0</v>
      </c>
      <c r="BA127" s="207">
        <f>[1]!'ai[123].H.fix'</f>
        <v>0</v>
      </c>
      <c r="BB127" s="208"/>
      <c r="BC127" s="207">
        <f>[1]!'ai[123].LL.EN'</f>
        <v>0</v>
      </c>
      <c r="BD127" s="207">
        <f>[1]!'ai[123].LL.V'</f>
        <v>0</v>
      </c>
      <c r="BE127" s="207">
        <f>[1]!'ai[123].LL.fix'</f>
        <v>0</v>
      </c>
      <c r="BF127" s="208"/>
      <c r="BG127" s="207">
        <f>[1]!'ai[123].HH.EN'</f>
        <v>0</v>
      </c>
      <c r="BH127" s="207">
        <f>[1]!'ai[123].HH.V'</f>
        <v>0</v>
      </c>
      <c r="BI127" s="207">
        <f>[1]!'ai[123].HH.fix'</f>
        <v>0</v>
      </c>
      <c r="BJ127" s="210"/>
      <c r="BK127" s="207">
        <f>[1]!'ai[123].group'</f>
        <v>3</v>
      </c>
      <c r="BL127" s="207">
        <f>[1]!'ai[123].state'</f>
        <v>4</v>
      </c>
      <c r="BM127" s="207">
        <f>[1]!'ai[123].isInvScale'</f>
        <v>0</v>
      </c>
    </row>
    <row r="128" spans="1:65">
      <c r="A128" s="445"/>
      <c r="B128" s="446"/>
      <c r="C128" s="221">
        <v>12</v>
      </c>
      <c r="D128" s="221">
        <v>12</v>
      </c>
      <c r="E128" s="222" t="s">
        <v>390</v>
      </c>
      <c r="F128" s="222" t="s">
        <v>391</v>
      </c>
      <c r="G128" s="207">
        <f>[1]!'ai[124].ZL'</f>
        <v>0</v>
      </c>
      <c r="H128" s="207">
        <f>[1]!'ai[124].ZH'</f>
        <v>300</v>
      </c>
      <c r="I128" s="221" t="s">
        <v>366</v>
      </c>
      <c r="J128" s="207">
        <f>[1]!'ai[124].RL.V'</f>
        <v>0</v>
      </c>
      <c r="K128" s="207">
        <f>[1]!'ai[124].RH.V'</f>
        <v>240</v>
      </c>
      <c r="L128" s="207">
        <f>[1]!'ai[124].L.V'</f>
        <v>0</v>
      </c>
      <c r="M128" s="207">
        <f>[1]!'ai[124].H.V'</f>
        <v>0</v>
      </c>
      <c r="N128" s="207">
        <f>[1]!'ai[124].LL.V'</f>
        <v>0</v>
      </c>
      <c r="O128" s="207">
        <f>[1]!'ai[124].HH.V'</f>
        <v>0</v>
      </c>
      <c r="P128" s="223">
        <v>4</v>
      </c>
      <c r="Q128" s="224">
        <v>3</v>
      </c>
      <c r="R128" s="184"/>
      <c r="T128" s="207">
        <f>[1]!'ai[124].group'</f>
        <v>3</v>
      </c>
      <c r="X128" s="207">
        <f>[1]!'ai[124].EN'</f>
        <v>1</v>
      </c>
      <c r="Y128" s="207">
        <f>[1]!'ai[124].i'</f>
        <v>9.4223020000000002E-4</v>
      </c>
      <c r="Z128" s="207">
        <f>[1]!'ai[124].isForce'</f>
        <v>0</v>
      </c>
      <c r="AA128" s="207" t="e">
        <f>[1]!'ai[124].vRaw'</f>
        <v>#REF!</v>
      </c>
      <c r="AB128" s="207">
        <f>[1]!'ai[124].isCorrect'</f>
        <v>0</v>
      </c>
      <c r="AC128" s="207" t="e">
        <f>[1]!'ai[124].vCorrect'</f>
        <v>#REF!</v>
      </c>
      <c r="AD128" s="207">
        <f>[1]!'ai[124].v'</f>
        <v>0</v>
      </c>
      <c r="AE128" s="207" t="e">
        <f>[1]!'ai[124].isCut'</f>
        <v>#REF!</v>
      </c>
      <c r="AF128" s="207" t="e">
        <f>[1]!'ai[124].vCut'</f>
        <v>#REF!</v>
      </c>
      <c r="AG128" s="208"/>
      <c r="AH128" s="207">
        <f>[1]!'ai[124].break.sgn'</f>
        <v>1</v>
      </c>
      <c r="AI128" s="208"/>
      <c r="AJ128" s="207">
        <f>[1]!'ai[124].ZL'</f>
        <v>0</v>
      </c>
      <c r="AK128" s="207">
        <f>[1]!'ai[124].ZH'</f>
        <v>300</v>
      </c>
      <c r="AL128" s="208"/>
      <c r="AM128" s="207">
        <f>[1]!'ai[124].RL.EN'</f>
        <v>1</v>
      </c>
      <c r="AN128" s="207">
        <f>[1]!'ai[124].RL.V'</f>
        <v>0</v>
      </c>
      <c r="AO128" s="207">
        <f>[1]!'ai[124].RL.fix'</f>
        <v>0</v>
      </c>
      <c r="AP128" s="208"/>
      <c r="AQ128" s="207">
        <f>[1]!'ai[124].RH.EN'</f>
        <v>1</v>
      </c>
      <c r="AR128" s="207">
        <f>[1]!'ai[124].RH.V'</f>
        <v>240</v>
      </c>
      <c r="AS128" s="207">
        <f>[1]!'ai[124].RH.fix'</f>
        <v>0</v>
      </c>
      <c r="AT128" s="208"/>
      <c r="AU128" s="207">
        <f>[1]!'ai[124].L.EN'</f>
        <v>0</v>
      </c>
      <c r="AV128" s="207">
        <f>[1]!'ai[124].L.V'</f>
        <v>0</v>
      </c>
      <c r="AW128" s="207">
        <f>[1]!'ai[124].L.fix'</f>
        <v>0</v>
      </c>
      <c r="AX128" s="208"/>
      <c r="AY128" s="207">
        <f>[1]!'ai[124].H.EN'</f>
        <v>0</v>
      </c>
      <c r="AZ128" s="207">
        <f>[1]!'ai[124].H.V'</f>
        <v>0</v>
      </c>
      <c r="BA128" s="207">
        <f>[1]!'ai[124].H.fix'</f>
        <v>0</v>
      </c>
      <c r="BB128" s="208"/>
      <c r="BC128" s="207">
        <f>[1]!'ai[124].LL.EN'</f>
        <v>0</v>
      </c>
      <c r="BD128" s="207">
        <f>[1]!'ai[124].LL.V'</f>
        <v>0</v>
      </c>
      <c r="BE128" s="207">
        <f>[1]!'ai[124].LL.fix'</f>
        <v>0</v>
      </c>
      <c r="BF128" s="208"/>
      <c r="BG128" s="207">
        <f>[1]!'ai[124].HH.EN'</f>
        <v>0</v>
      </c>
      <c r="BH128" s="207">
        <f>[1]!'ai[124].HH.V'</f>
        <v>0</v>
      </c>
      <c r="BI128" s="207">
        <f>[1]!'ai[124].HH.fix'</f>
        <v>0</v>
      </c>
      <c r="BJ128" s="210"/>
      <c r="BK128" s="207">
        <f>[1]!'ai[124].group'</f>
        <v>3</v>
      </c>
      <c r="BL128" s="207">
        <f>[1]!'ai[124].state'</f>
        <v>4</v>
      </c>
      <c r="BM128" s="207">
        <f>[1]!'ai[124].isInvScale'</f>
        <v>0</v>
      </c>
    </row>
    <row r="129" spans="1:65">
      <c r="A129" s="445"/>
      <c r="B129" s="446"/>
      <c r="C129" s="221">
        <v>13</v>
      </c>
      <c r="D129" s="221">
        <v>13</v>
      </c>
      <c r="E129" s="222" t="s">
        <v>392</v>
      </c>
      <c r="F129" s="222" t="s">
        <v>393</v>
      </c>
      <c r="G129" s="207">
        <f>[1]!'ai[125].ZL'</f>
        <v>0</v>
      </c>
      <c r="H129" s="207">
        <f>[1]!'ai[125].ZH'</f>
        <v>0</v>
      </c>
      <c r="I129" s="221" t="s">
        <v>366</v>
      </c>
      <c r="J129" s="207">
        <f>[1]!'ai[125].RL.V'</f>
        <v>0</v>
      </c>
      <c r="K129" s="207">
        <f>[1]!'ai[125].RH.V'</f>
        <v>0</v>
      </c>
      <c r="L129" s="207">
        <f>[1]!'ai[125].L.V'</f>
        <v>0</v>
      </c>
      <c r="M129" s="207">
        <f>[1]!'ai[125].H.V'</f>
        <v>0</v>
      </c>
      <c r="N129" s="207">
        <f>[1]!'ai[125].LL.V'</f>
        <v>0</v>
      </c>
      <c r="O129" s="207">
        <f>[1]!'ai[125].HH.V'</f>
        <v>0</v>
      </c>
      <c r="P129" s="223">
        <v>4</v>
      </c>
      <c r="Q129" s="224">
        <v>3</v>
      </c>
      <c r="R129" s="184"/>
      <c r="T129" s="207">
        <f>[1]!'ai[125].group'</f>
        <v>0</v>
      </c>
      <c r="X129" s="207">
        <f>[1]!'ai[125].EN'</f>
        <v>0</v>
      </c>
      <c r="Y129" s="207">
        <f>[1]!'ai[125].i'</f>
        <v>0</v>
      </c>
      <c r="Z129" s="207">
        <f>[1]!'ai[125].isForce'</f>
        <v>0</v>
      </c>
      <c r="AA129" s="207" t="e">
        <f>[1]!'ai[125].vRaw'</f>
        <v>#REF!</v>
      </c>
      <c r="AB129" s="207">
        <f>[1]!'ai[125].isCorrect'</f>
        <v>0</v>
      </c>
      <c r="AC129" s="207" t="e">
        <f>[1]!'ai[125].vCorrect'</f>
        <v>#REF!</v>
      </c>
      <c r="AD129" s="207">
        <f>[1]!'ai[125].v'</f>
        <v>0</v>
      </c>
      <c r="AE129" s="207" t="e">
        <f>[1]!'ai[125].isCut'</f>
        <v>#REF!</v>
      </c>
      <c r="AF129" s="207" t="e">
        <f>[1]!'ai[125].vCut'</f>
        <v>#REF!</v>
      </c>
      <c r="AG129" s="208"/>
      <c r="AH129" s="207">
        <f>[1]!'ai[125].break.sgn'</f>
        <v>0</v>
      </c>
      <c r="AI129" s="208"/>
      <c r="AJ129" s="207">
        <f>[1]!'ai[125].ZL'</f>
        <v>0</v>
      </c>
      <c r="AK129" s="207">
        <f>[1]!'ai[125].ZH'</f>
        <v>0</v>
      </c>
      <c r="AL129" s="208"/>
      <c r="AM129" s="207">
        <f>[1]!'ai[125].RL.EN'</f>
        <v>0</v>
      </c>
      <c r="AN129" s="207">
        <f>[1]!'ai[125].RL.V'</f>
        <v>0</v>
      </c>
      <c r="AO129" s="207">
        <f>[1]!'ai[125].RL.fix'</f>
        <v>0</v>
      </c>
      <c r="AP129" s="208"/>
      <c r="AQ129" s="207">
        <f>[1]!'ai[125].RH.EN'</f>
        <v>0</v>
      </c>
      <c r="AR129" s="207">
        <f>[1]!'ai[125].RH.V'</f>
        <v>0</v>
      </c>
      <c r="AS129" s="207">
        <f>[1]!'ai[125].RH.fix'</f>
        <v>0</v>
      </c>
      <c r="AT129" s="208"/>
      <c r="AU129" s="207">
        <f>[1]!'ai[125].L.EN'</f>
        <v>0</v>
      </c>
      <c r="AV129" s="207">
        <f>[1]!'ai[125].L.V'</f>
        <v>0</v>
      </c>
      <c r="AW129" s="207">
        <f>[1]!'ai[125].L.fix'</f>
        <v>0</v>
      </c>
      <c r="AX129" s="208"/>
      <c r="AY129" s="207">
        <f>[1]!'ai[125].H.EN'</f>
        <v>0</v>
      </c>
      <c r="AZ129" s="207">
        <f>[1]!'ai[125].H.V'</f>
        <v>0</v>
      </c>
      <c r="BA129" s="207">
        <f>[1]!'ai[125].H.fix'</f>
        <v>0</v>
      </c>
      <c r="BB129" s="208"/>
      <c r="BC129" s="207">
        <f>[1]!'ai[125].LL.EN'</f>
        <v>0</v>
      </c>
      <c r="BD129" s="207">
        <f>[1]!'ai[125].LL.V'</f>
        <v>0</v>
      </c>
      <c r="BE129" s="207">
        <f>[1]!'ai[125].LL.fix'</f>
        <v>0</v>
      </c>
      <c r="BF129" s="208"/>
      <c r="BG129" s="207">
        <f>[1]!'ai[125].HH.EN'</f>
        <v>0</v>
      </c>
      <c r="BH129" s="207">
        <f>[1]!'ai[125].HH.V'</f>
        <v>0</v>
      </c>
      <c r="BI129" s="207">
        <f>[1]!'ai[125].HH.fix'</f>
        <v>0</v>
      </c>
      <c r="BJ129" s="210"/>
      <c r="BK129" s="207">
        <f>[1]!'ai[125].group'</f>
        <v>0</v>
      </c>
      <c r="BL129" s="207">
        <f>[1]!'ai[125].state'</f>
        <v>4</v>
      </c>
      <c r="BM129" s="207">
        <f>[1]!'ai[125].isInvScale'</f>
        <v>0</v>
      </c>
    </row>
    <row r="130" spans="1:65">
      <c r="A130" s="445"/>
      <c r="B130" s="446"/>
      <c r="C130" s="221">
        <v>14</v>
      </c>
      <c r="D130" s="221">
        <v>14</v>
      </c>
      <c r="E130" s="222" t="s">
        <v>394</v>
      </c>
      <c r="F130" s="222" t="s">
        <v>395</v>
      </c>
      <c r="G130" s="207">
        <f>[1]!'ai[126].ZL'</f>
        <v>0</v>
      </c>
      <c r="H130" s="207">
        <f>[1]!'ai[126].ZH'</f>
        <v>0</v>
      </c>
      <c r="I130" s="221" t="s">
        <v>366</v>
      </c>
      <c r="J130" s="207">
        <f>[1]!'ai[126].RL.V'</f>
        <v>0</v>
      </c>
      <c r="K130" s="207">
        <f>[1]!'ai[126].RH.V'</f>
        <v>0</v>
      </c>
      <c r="L130" s="207">
        <f>[1]!'ai[126].L.V'</f>
        <v>0</v>
      </c>
      <c r="M130" s="207">
        <f>[1]!'ai[126].H.V'</f>
        <v>0</v>
      </c>
      <c r="N130" s="207">
        <f>[1]!'ai[126].LL.V'</f>
        <v>0</v>
      </c>
      <c r="O130" s="207">
        <f>[1]!'ai[126].HH.V'</f>
        <v>0</v>
      </c>
      <c r="P130" s="223">
        <v>4</v>
      </c>
      <c r="Q130" s="224">
        <v>3</v>
      </c>
      <c r="R130" s="184"/>
      <c r="T130" s="207">
        <f>[1]!'ai[126].group'</f>
        <v>0</v>
      </c>
      <c r="X130" s="207">
        <f>[1]!'ai[126].EN'</f>
        <v>0</v>
      </c>
      <c r="Y130" s="207">
        <f>[1]!'ai[126].i'</f>
        <v>0</v>
      </c>
      <c r="Z130" s="207">
        <f>[1]!'ai[126].isForce'</f>
        <v>0</v>
      </c>
      <c r="AA130" s="207" t="e">
        <f>[1]!'ai[126].vRaw'</f>
        <v>#REF!</v>
      </c>
      <c r="AB130" s="207">
        <f>[1]!'ai[126].isCorrect'</f>
        <v>0</v>
      </c>
      <c r="AC130" s="207" t="e">
        <f>[1]!'ai[126].vCorrect'</f>
        <v>#REF!</v>
      </c>
      <c r="AD130" s="207">
        <f>[1]!'ai[126].v'</f>
        <v>0</v>
      </c>
      <c r="AE130" s="207" t="e">
        <f>[1]!'ai[126].isCut'</f>
        <v>#REF!</v>
      </c>
      <c r="AF130" s="207" t="e">
        <f>[1]!'ai[126].vCut'</f>
        <v>#REF!</v>
      </c>
      <c r="AG130" s="208"/>
      <c r="AH130" s="207">
        <f>[1]!'ai[126].break.sgn'</f>
        <v>0</v>
      </c>
      <c r="AI130" s="208"/>
      <c r="AJ130" s="207">
        <f>[1]!'ai[126].ZL'</f>
        <v>0</v>
      </c>
      <c r="AK130" s="207">
        <f>[1]!'ai[126].ZH'</f>
        <v>0</v>
      </c>
      <c r="AL130" s="208"/>
      <c r="AM130" s="207">
        <f>[1]!'ai[126].RL.EN'</f>
        <v>0</v>
      </c>
      <c r="AN130" s="207">
        <f>[1]!'ai[126].RL.V'</f>
        <v>0</v>
      </c>
      <c r="AO130" s="207">
        <f>[1]!'ai[126].RL.fix'</f>
        <v>0</v>
      </c>
      <c r="AP130" s="208"/>
      <c r="AQ130" s="207">
        <f>[1]!'ai[126].RH.EN'</f>
        <v>0</v>
      </c>
      <c r="AR130" s="207">
        <f>[1]!'ai[126].RH.V'</f>
        <v>0</v>
      </c>
      <c r="AS130" s="207">
        <f>[1]!'ai[126].RH.fix'</f>
        <v>0</v>
      </c>
      <c r="AT130" s="208"/>
      <c r="AU130" s="207">
        <f>[1]!'ai[126].L.EN'</f>
        <v>0</v>
      </c>
      <c r="AV130" s="207">
        <f>[1]!'ai[126].L.V'</f>
        <v>0</v>
      </c>
      <c r="AW130" s="207">
        <f>[1]!'ai[126].L.fix'</f>
        <v>0</v>
      </c>
      <c r="AX130" s="208"/>
      <c r="AY130" s="207">
        <f>[1]!'ai[126].H.EN'</f>
        <v>0</v>
      </c>
      <c r="AZ130" s="207">
        <f>[1]!'ai[126].H.V'</f>
        <v>0</v>
      </c>
      <c r="BA130" s="207">
        <f>[1]!'ai[126].H.fix'</f>
        <v>0</v>
      </c>
      <c r="BB130" s="208"/>
      <c r="BC130" s="207">
        <f>[1]!'ai[126].LL.EN'</f>
        <v>0</v>
      </c>
      <c r="BD130" s="207">
        <f>[1]!'ai[126].LL.V'</f>
        <v>0</v>
      </c>
      <c r="BE130" s="207">
        <f>[1]!'ai[126].LL.fix'</f>
        <v>0</v>
      </c>
      <c r="BF130" s="208"/>
      <c r="BG130" s="207">
        <f>[1]!'ai[126].HH.EN'</f>
        <v>0</v>
      </c>
      <c r="BH130" s="207">
        <f>[1]!'ai[126].HH.V'</f>
        <v>0</v>
      </c>
      <c r="BI130" s="207">
        <f>[1]!'ai[126].HH.fix'</f>
        <v>0</v>
      </c>
      <c r="BJ130" s="209"/>
      <c r="BK130" s="207">
        <f>[1]!'ai[126].group'</f>
        <v>0</v>
      </c>
      <c r="BL130" s="207">
        <f>[1]!'ai[126].state'</f>
        <v>4</v>
      </c>
      <c r="BM130" s="207">
        <f>[1]!'ai[126].isInvScale'</f>
        <v>0</v>
      </c>
    </row>
    <row r="131" spans="1:65" ht="15.75" thickBot="1">
      <c r="A131" s="445"/>
      <c r="B131" s="446"/>
      <c r="C131" s="225">
        <v>15</v>
      </c>
      <c r="D131" s="225">
        <v>15</v>
      </c>
      <c r="E131" s="226" t="s">
        <v>396</v>
      </c>
      <c r="F131" s="226" t="s">
        <v>397</v>
      </c>
      <c r="G131" s="207">
        <f>[1]!'ai[127].ZL'</f>
        <v>0</v>
      </c>
      <c r="H131" s="207">
        <f>[1]!'ai[127].ZH'</f>
        <v>0</v>
      </c>
      <c r="I131" s="225" t="s">
        <v>366</v>
      </c>
      <c r="J131" s="207">
        <f>[1]!'ai[127].RL.V'</f>
        <v>0</v>
      </c>
      <c r="K131" s="207">
        <f>[1]!'ai[127].RH.V'</f>
        <v>0</v>
      </c>
      <c r="L131" s="207">
        <f>[1]!'ai[127].L.V'</f>
        <v>0</v>
      </c>
      <c r="M131" s="207">
        <f>[1]!'ai[127].H.V'</f>
        <v>0</v>
      </c>
      <c r="N131" s="207">
        <f>[1]!'ai[127].LL.V'</f>
        <v>0</v>
      </c>
      <c r="O131" s="207">
        <f>[1]!'ai[127].HH.V'</f>
        <v>0</v>
      </c>
      <c r="P131" s="227">
        <v>4</v>
      </c>
      <c r="Q131" s="228">
        <v>3</v>
      </c>
      <c r="R131" s="190"/>
      <c r="T131" s="207">
        <f>[1]!'ai[127].group'</f>
        <v>0</v>
      </c>
      <c r="X131" s="207">
        <f>[1]!'ai[127].EN'</f>
        <v>0</v>
      </c>
      <c r="Y131" s="207">
        <f>[1]!'ai[127].i'</f>
        <v>0</v>
      </c>
      <c r="Z131" s="207">
        <f>[1]!'ai[127].isForce'</f>
        <v>0</v>
      </c>
      <c r="AA131" s="207" t="e">
        <f>[1]!'ai[127].vRaw'</f>
        <v>#REF!</v>
      </c>
      <c r="AB131" s="207">
        <f>[1]!'ai[127].isCorrect'</f>
        <v>0</v>
      </c>
      <c r="AC131" s="207" t="e">
        <f>[1]!'ai[127].vCorrect'</f>
        <v>#REF!</v>
      </c>
      <c r="AD131" s="207">
        <f>[1]!'ai[127].v'</f>
        <v>0</v>
      </c>
      <c r="AE131" s="207" t="e">
        <f>[1]!'ai[127].isCut'</f>
        <v>#REF!</v>
      </c>
      <c r="AF131" s="207" t="e">
        <f>[1]!'ai[127].vCut'</f>
        <v>#REF!</v>
      </c>
      <c r="AG131" s="208"/>
      <c r="AH131" s="207">
        <f>[1]!'ai[127].break.sgn'</f>
        <v>0</v>
      </c>
      <c r="AI131" s="208"/>
      <c r="AJ131" s="207">
        <f>[1]!'ai[127].ZL'</f>
        <v>0</v>
      </c>
      <c r="AK131" s="207">
        <f>[1]!'ai[127].ZH'</f>
        <v>0</v>
      </c>
      <c r="AL131" s="208"/>
      <c r="AM131" s="207">
        <f>[1]!'ai[127].RL.EN'</f>
        <v>0</v>
      </c>
      <c r="AN131" s="207">
        <f>[1]!'ai[127].RL.V'</f>
        <v>0</v>
      </c>
      <c r="AO131" s="207">
        <f>[1]!'ai[127].RL.fix'</f>
        <v>0</v>
      </c>
      <c r="AP131" s="208"/>
      <c r="AQ131" s="207">
        <f>[1]!'ai[127].RH.EN'</f>
        <v>0</v>
      </c>
      <c r="AR131" s="207">
        <f>[1]!'ai[127].RH.V'</f>
        <v>0</v>
      </c>
      <c r="AS131" s="207">
        <f>[1]!'ai[127].RH.fix'</f>
        <v>0</v>
      </c>
      <c r="AT131" s="208"/>
      <c r="AU131" s="207">
        <f>[1]!'ai[127].L.EN'</f>
        <v>0</v>
      </c>
      <c r="AV131" s="207">
        <f>[1]!'ai[127].L.V'</f>
        <v>0</v>
      </c>
      <c r="AW131" s="207">
        <f>[1]!'ai[127].L.fix'</f>
        <v>0</v>
      </c>
      <c r="AX131" s="208"/>
      <c r="AY131" s="207">
        <f>[1]!'ai[127].H.EN'</f>
        <v>0</v>
      </c>
      <c r="AZ131" s="207">
        <f>[1]!'ai[127].H.V'</f>
        <v>0</v>
      </c>
      <c r="BA131" s="207">
        <f>[1]!'ai[127].H.fix'</f>
        <v>0</v>
      </c>
      <c r="BB131" s="208"/>
      <c r="BC131" s="207">
        <f>[1]!'ai[127].LL.EN'</f>
        <v>0</v>
      </c>
      <c r="BD131" s="207">
        <f>[1]!'ai[127].LL.V'</f>
        <v>0</v>
      </c>
      <c r="BE131" s="207">
        <f>[1]!'ai[127].LL.fix'</f>
        <v>0</v>
      </c>
      <c r="BF131" s="208"/>
      <c r="BG131" s="207">
        <f>[1]!'ai[127].HH.EN'</f>
        <v>0</v>
      </c>
      <c r="BH131" s="207">
        <f>[1]!'ai[127].HH.V'</f>
        <v>0</v>
      </c>
      <c r="BI131" s="207">
        <f>[1]!'ai[127].HH.fix'</f>
        <v>0</v>
      </c>
      <c r="BJ131" s="209"/>
      <c r="BK131" s="207">
        <f>[1]!'ai[127].group'</f>
        <v>0</v>
      </c>
      <c r="BL131" s="207">
        <f>[1]!'ai[127].state'</f>
        <v>4</v>
      </c>
      <c r="BM131" s="207">
        <f>[1]!'ai[127].isInvScale'</f>
        <v>0</v>
      </c>
    </row>
    <row r="132" spans="1:65">
      <c r="A132" s="445" t="s">
        <v>36</v>
      </c>
      <c r="B132" s="446">
        <v>3</v>
      </c>
      <c r="C132" s="216">
        <v>0</v>
      </c>
      <c r="D132" s="216">
        <v>0</v>
      </c>
      <c r="E132" s="217" t="s">
        <v>364</v>
      </c>
      <c r="F132" s="217" t="s">
        <v>365</v>
      </c>
      <c r="G132" s="207">
        <f>[1]!'ai[128].ZL'</f>
        <v>0</v>
      </c>
      <c r="H132" s="207">
        <f>[1]!'ai[128].ZH'</f>
        <v>300</v>
      </c>
      <c r="I132" s="216" t="s">
        <v>366</v>
      </c>
      <c r="J132" s="207">
        <f>[1]!'ai[128].RL.V'</f>
        <v>130</v>
      </c>
      <c r="K132" s="207">
        <f>[1]!'ai[128].RH.V'</f>
        <v>280</v>
      </c>
      <c r="L132" s="207">
        <f>[1]!'ai[128].L.V'</f>
        <v>0</v>
      </c>
      <c r="M132" s="207">
        <f>[1]!'ai[128].H.V'</f>
        <v>0</v>
      </c>
      <c r="N132" s="207">
        <f>[1]!'ai[128].LL.V'</f>
        <v>0</v>
      </c>
      <c r="O132" s="207">
        <f>[1]!'ai[128].HH.V'</f>
        <v>0</v>
      </c>
      <c r="P132" s="218">
        <v>1</v>
      </c>
      <c r="Q132" s="219">
        <v>0</v>
      </c>
      <c r="R132" s="220"/>
      <c r="T132" s="207">
        <f>[1]!'ai[128].group'</f>
        <v>3</v>
      </c>
      <c r="X132" s="207">
        <f>[1]!'ai[128].EN'</f>
        <v>1</v>
      </c>
      <c r="Y132" s="207">
        <f>[1]!'ai[128].i'</f>
        <v>3.4551619999999999E-3</v>
      </c>
      <c r="Z132" s="207">
        <f>[1]!'ai[128].isForce'</f>
        <v>0</v>
      </c>
      <c r="AA132" s="207" t="e">
        <f>[1]!'ai[128].vRaw'</f>
        <v>#REF!</v>
      </c>
      <c r="AB132" s="207">
        <f>[1]!'ai[128].isCorrect'</f>
        <v>0</v>
      </c>
      <c r="AC132" s="207" t="e">
        <f>[1]!'ai[128].vCorrect'</f>
        <v>#REF!</v>
      </c>
      <c r="AD132" s="207">
        <f>[1]!'ai[128].v'</f>
        <v>0</v>
      </c>
      <c r="AE132" s="207" t="e">
        <f>[1]!'ai[128].isCut'</f>
        <v>#REF!</v>
      </c>
      <c r="AF132" s="207" t="e">
        <f>[1]!'ai[128].vCut'</f>
        <v>#REF!</v>
      </c>
      <c r="AG132" s="208"/>
      <c r="AH132" s="207">
        <f>[1]!'ai[128].break.sgn'</f>
        <v>1</v>
      </c>
      <c r="AI132" s="208"/>
      <c r="AJ132" s="207">
        <f>[1]!'ai[128].ZL'</f>
        <v>0</v>
      </c>
      <c r="AK132" s="207">
        <f>[1]!'ai[128].ZH'</f>
        <v>300</v>
      </c>
      <c r="AL132" s="208"/>
      <c r="AM132" s="207">
        <f>[1]!'ai[128].RL.EN'</f>
        <v>1</v>
      </c>
      <c r="AN132" s="207">
        <f>[1]!'ai[128].RL.V'</f>
        <v>130</v>
      </c>
      <c r="AO132" s="207">
        <f>[1]!'ai[128].RL.fix'</f>
        <v>0</v>
      </c>
      <c r="AP132" s="208"/>
      <c r="AQ132" s="207">
        <f>[1]!'ai[128].RH.EN'</f>
        <v>1</v>
      </c>
      <c r="AR132" s="207">
        <f>[1]!'ai[128].RH.V'</f>
        <v>280</v>
      </c>
      <c r="AS132" s="207">
        <f>[1]!'ai[128].RH.fix'</f>
        <v>0</v>
      </c>
      <c r="AT132" s="208"/>
      <c r="AU132" s="207">
        <f>[1]!'ai[128].L.EN'</f>
        <v>0</v>
      </c>
      <c r="AV132" s="207">
        <f>[1]!'ai[128].L.V'</f>
        <v>0</v>
      </c>
      <c r="AW132" s="207">
        <f>[1]!'ai[128].L.fix'</f>
        <v>0</v>
      </c>
      <c r="AX132" s="208"/>
      <c r="AY132" s="207">
        <f>[1]!'ai[128].H.EN'</f>
        <v>0</v>
      </c>
      <c r="AZ132" s="207">
        <f>[1]!'ai[128].H.V'</f>
        <v>0</v>
      </c>
      <c r="BA132" s="207">
        <f>[1]!'ai[128].H.fix'</f>
        <v>0</v>
      </c>
      <c r="BB132" s="208"/>
      <c r="BC132" s="207">
        <f>[1]!'ai[128].LL.EN'</f>
        <v>0</v>
      </c>
      <c r="BD132" s="207">
        <f>[1]!'ai[128].LL.V'</f>
        <v>0</v>
      </c>
      <c r="BE132" s="207">
        <f>[1]!'ai[128].LL.fix'</f>
        <v>0</v>
      </c>
      <c r="BF132" s="208"/>
      <c r="BG132" s="207">
        <f>[1]!'ai[128].HH.EN'</f>
        <v>0</v>
      </c>
      <c r="BH132" s="207">
        <f>[1]!'ai[128].HH.V'</f>
        <v>0</v>
      </c>
      <c r="BI132" s="207">
        <f>[1]!'ai[128].HH.fix'</f>
        <v>0</v>
      </c>
      <c r="BJ132" s="209"/>
      <c r="BK132" s="207">
        <f>[1]!'ai[128].group'</f>
        <v>3</v>
      </c>
      <c r="BL132" s="207">
        <f>[1]!'ai[128].state'</f>
        <v>4</v>
      </c>
      <c r="BM132" s="207">
        <f>[1]!'ai[128].isInvScale'</f>
        <v>0</v>
      </c>
    </row>
    <row r="133" spans="1:65">
      <c r="A133" s="445"/>
      <c r="B133" s="446"/>
      <c r="C133" s="221">
        <v>1</v>
      </c>
      <c r="D133" s="221">
        <v>1</v>
      </c>
      <c r="E133" s="222" t="s">
        <v>367</v>
      </c>
      <c r="F133" s="222" t="s">
        <v>368</v>
      </c>
      <c r="G133" s="207">
        <f>[1]!'ai[129].ZL'</f>
        <v>0</v>
      </c>
      <c r="H133" s="207">
        <f>[1]!'ai[129].ZH'</f>
        <v>300</v>
      </c>
      <c r="I133" s="221" t="s">
        <v>366</v>
      </c>
      <c r="J133" s="207">
        <f>[1]!'ai[129].RL.V'</f>
        <v>130</v>
      </c>
      <c r="K133" s="207">
        <f>[1]!'ai[129].RH.V'</f>
        <v>270</v>
      </c>
      <c r="L133" s="207">
        <f>[1]!'ai[129].L.V'</f>
        <v>0</v>
      </c>
      <c r="M133" s="207">
        <f>[1]!'ai[129].H.V'</f>
        <v>0</v>
      </c>
      <c r="N133" s="207">
        <f>[1]!'ai[129].LL.V'</f>
        <v>0</v>
      </c>
      <c r="O133" s="207">
        <f>[1]!'ai[129].HH.V'</f>
        <v>0</v>
      </c>
      <c r="P133" s="223">
        <v>1</v>
      </c>
      <c r="Q133" s="224">
        <v>0</v>
      </c>
      <c r="R133" s="184"/>
      <c r="T133" s="207">
        <f>[1]!'ai[129].group'</f>
        <v>3</v>
      </c>
      <c r="X133" s="207">
        <f>[1]!'ai[129].EN'</f>
        <v>1</v>
      </c>
      <c r="Y133" s="207">
        <f>[1]!'ai[129].i'</f>
        <v>3.7689210000000002E-3</v>
      </c>
      <c r="Z133" s="207">
        <f>[1]!'ai[129].isForce'</f>
        <v>0</v>
      </c>
      <c r="AA133" s="207" t="e">
        <f>[1]!'ai[129].vRaw'</f>
        <v>#REF!</v>
      </c>
      <c r="AB133" s="207">
        <f>[1]!'ai[129].isCorrect'</f>
        <v>0</v>
      </c>
      <c r="AC133" s="207" t="e">
        <f>[1]!'ai[129].vCorrect'</f>
        <v>#REF!</v>
      </c>
      <c r="AD133" s="207">
        <f>[1]!'ai[129].v'</f>
        <v>0</v>
      </c>
      <c r="AE133" s="207" t="e">
        <f>[1]!'ai[129].isCut'</f>
        <v>#REF!</v>
      </c>
      <c r="AF133" s="207" t="e">
        <f>[1]!'ai[129].vCut'</f>
        <v>#REF!</v>
      </c>
      <c r="AG133" s="208"/>
      <c r="AH133" s="207">
        <f>[1]!'ai[129].break.sgn'</f>
        <v>1</v>
      </c>
      <c r="AI133" s="208"/>
      <c r="AJ133" s="207">
        <f>[1]!'ai[129].ZL'</f>
        <v>0</v>
      </c>
      <c r="AK133" s="207">
        <f>[1]!'ai[129].ZH'</f>
        <v>300</v>
      </c>
      <c r="AL133" s="208"/>
      <c r="AM133" s="207">
        <f>[1]!'ai[129].RL.EN'</f>
        <v>1</v>
      </c>
      <c r="AN133" s="207">
        <f>[1]!'ai[129].RL.V'</f>
        <v>130</v>
      </c>
      <c r="AO133" s="207">
        <f>[1]!'ai[129].RL.fix'</f>
        <v>0</v>
      </c>
      <c r="AP133" s="208"/>
      <c r="AQ133" s="207">
        <f>[1]!'ai[129].RH.EN'</f>
        <v>1</v>
      </c>
      <c r="AR133" s="207">
        <f>[1]!'ai[129].RH.V'</f>
        <v>270</v>
      </c>
      <c r="AS133" s="207">
        <f>[1]!'ai[129].RH.fix'</f>
        <v>0</v>
      </c>
      <c r="AT133" s="208"/>
      <c r="AU133" s="207">
        <f>[1]!'ai[129].L.EN'</f>
        <v>0</v>
      </c>
      <c r="AV133" s="207">
        <f>[1]!'ai[129].L.V'</f>
        <v>0</v>
      </c>
      <c r="AW133" s="207">
        <f>[1]!'ai[129].L.fix'</f>
        <v>0</v>
      </c>
      <c r="AX133" s="208"/>
      <c r="AY133" s="207">
        <f>[1]!'ai[129].H.EN'</f>
        <v>0</v>
      </c>
      <c r="AZ133" s="207">
        <f>[1]!'ai[129].H.V'</f>
        <v>0</v>
      </c>
      <c r="BA133" s="207">
        <f>[1]!'ai[129].H.fix'</f>
        <v>0</v>
      </c>
      <c r="BB133" s="208"/>
      <c r="BC133" s="207">
        <f>[1]!'ai[129].LL.EN'</f>
        <v>0</v>
      </c>
      <c r="BD133" s="207">
        <f>[1]!'ai[129].LL.V'</f>
        <v>0</v>
      </c>
      <c r="BE133" s="207">
        <f>[1]!'ai[129].LL.fix'</f>
        <v>0</v>
      </c>
      <c r="BF133" s="208"/>
      <c r="BG133" s="207">
        <f>[1]!'ai[129].HH.EN'</f>
        <v>0</v>
      </c>
      <c r="BH133" s="207">
        <f>[1]!'ai[129].HH.V'</f>
        <v>0</v>
      </c>
      <c r="BI133" s="207">
        <f>[1]!'ai[129].HH.fix'</f>
        <v>0</v>
      </c>
      <c r="BJ133" s="209"/>
      <c r="BK133" s="207">
        <f>[1]!'ai[129].group'</f>
        <v>3</v>
      </c>
      <c r="BL133" s="207">
        <f>[1]!'ai[129].state'</f>
        <v>4</v>
      </c>
      <c r="BM133" s="207">
        <f>[1]!'ai[129].isInvScale'</f>
        <v>0</v>
      </c>
    </row>
    <row r="134" spans="1:65">
      <c r="A134" s="445"/>
      <c r="B134" s="446"/>
      <c r="C134" s="221">
        <v>2</v>
      </c>
      <c r="D134" s="221">
        <v>2</v>
      </c>
      <c r="E134" s="222" t="s">
        <v>369</v>
      </c>
      <c r="F134" s="222" t="s">
        <v>370</v>
      </c>
      <c r="G134" s="207">
        <f>[1]!'ai[130].ZL'</f>
        <v>0</v>
      </c>
      <c r="H134" s="207">
        <f>[1]!'ai[130].ZH'</f>
        <v>300</v>
      </c>
      <c r="I134" s="221" t="s">
        <v>366</v>
      </c>
      <c r="J134" s="207">
        <f>[1]!'ai[130].RL.V'</f>
        <v>130</v>
      </c>
      <c r="K134" s="207">
        <f>[1]!'ai[130].RH.V'</f>
        <v>270</v>
      </c>
      <c r="L134" s="207">
        <f>[1]!'ai[130].L.V'</f>
        <v>0</v>
      </c>
      <c r="M134" s="207">
        <f>[1]!'ai[130].H.V'</f>
        <v>0</v>
      </c>
      <c r="N134" s="207">
        <f>[1]!'ai[130].LL.V'</f>
        <v>0</v>
      </c>
      <c r="O134" s="207">
        <f>[1]!'ai[130].HH.V'</f>
        <v>0</v>
      </c>
      <c r="P134" s="223">
        <v>1</v>
      </c>
      <c r="Q134" s="224">
        <v>0</v>
      </c>
      <c r="R134" s="184"/>
      <c r="T134" s="207">
        <f>[1]!'ai[130].group'</f>
        <v>3</v>
      </c>
      <c r="X134" s="207">
        <f>[1]!'ai[130].EN'</f>
        <v>1</v>
      </c>
      <c r="Y134" s="207">
        <f>[1]!'ai[130].i'</f>
        <v>3.7689210000000002E-3</v>
      </c>
      <c r="Z134" s="207">
        <f>[1]!'ai[130].isForce'</f>
        <v>0</v>
      </c>
      <c r="AA134" s="207" t="e">
        <f>[1]!'ai[130].vRaw'</f>
        <v>#REF!</v>
      </c>
      <c r="AB134" s="207">
        <f>[1]!'ai[130].isCorrect'</f>
        <v>0</v>
      </c>
      <c r="AC134" s="207" t="e">
        <f>[1]!'ai[130].vCorrect'</f>
        <v>#REF!</v>
      </c>
      <c r="AD134" s="207">
        <f>[1]!'ai[130].v'</f>
        <v>0</v>
      </c>
      <c r="AE134" s="207" t="e">
        <f>[1]!'ai[130].isCut'</f>
        <v>#REF!</v>
      </c>
      <c r="AF134" s="207" t="e">
        <f>[1]!'ai[130].vCut'</f>
        <v>#REF!</v>
      </c>
      <c r="AG134" s="208"/>
      <c r="AH134" s="207">
        <f>[1]!'ai[130].break.sgn'</f>
        <v>1</v>
      </c>
      <c r="AI134" s="208"/>
      <c r="AJ134" s="207">
        <f>[1]!'ai[130].ZL'</f>
        <v>0</v>
      </c>
      <c r="AK134" s="207">
        <f>[1]!'ai[130].ZH'</f>
        <v>300</v>
      </c>
      <c r="AL134" s="208"/>
      <c r="AM134" s="207">
        <f>[1]!'ai[130].RL.EN'</f>
        <v>1</v>
      </c>
      <c r="AN134" s="207">
        <f>[1]!'ai[130].RL.V'</f>
        <v>130</v>
      </c>
      <c r="AO134" s="207">
        <f>[1]!'ai[130].RL.fix'</f>
        <v>0</v>
      </c>
      <c r="AP134" s="208"/>
      <c r="AQ134" s="207">
        <f>[1]!'ai[130].RH.EN'</f>
        <v>1</v>
      </c>
      <c r="AR134" s="207">
        <f>[1]!'ai[130].RH.V'</f>
        <v>270</v>
      </c>
      <c r="AS134" s="207">
        <f>[1]!'ai[130].RH.fix'</f>
        <v>0</v>
      </c>
      <c r="AT134" s="208"/>
      <c r="AU134" s="207">
        <f>[1]!'ai[130].L.EN'</f>
        <v>0</v>
      </c>
      <c r="AV134" s="207">
        <f>[1]!'ai[130].L.V'</f>
        <v>0</v>
      </c>
      <c r="AW134" s="207">
        <f>[1]!'ai[130].L.fix'</f>
        <v>0</v>
      </c>
      <c r="AX134" s="208"/>
      <c r="AY134" s="207">
        <f>[1]!'ai[130].H.EN'</f>
        <v>0</v>
      </c>
      <c r="AZ134" s="207">
        <f>[1]!'ai[130].H.V'</f>
        <v>0</v>
      </c>
      <c r="BA134" s="207">
        <f>[1]!'ai[130].H.fix'</f>
        <v>0</v>
      </c>
      <c r="BB134" s="208"/>
      <c r="BC134" s="207">
        <f>[1]!'ai[130].LL.EN'</f>
        <v>0</v>
      </c>
      <c r="BD134" s="207">
        <f>[1]!'ai[130].LL.V'</f>
        <v>0</v>
      </c>
      <c r="BE134" s="207">
        <f>[1]!'ai[130].LL.fix'</f>
        <v>0</v>
      </c>
      <c r="BF134" s="208"/>
      <c r="BG134" s="207">
        <f>[1]!'ai[130].HH.EN'</f>
        <v>0</v>
      </c>
      <c r="BH134" s="207">
        <f>[1]!'ai[130].HH.V'</f>
        <v>0</v>
      </c>
      <c r="BI134" s="207">
        <f>[1]!'ai[130].HH.fix'</f>
        <v>0</v>
      </c>
      <c r="BJ134" s="210"/>
      <c r="BK134" s="207">
        <f>[1]!'ai[130].group'</f>
        <v>3</v>
      </c>
      <c r="BL134" s="207">
        <f>[1]!'ai[130].state'</f>
        <v>4</v>
      </c>
      <c r="BM134" s="207">
        <f>[1]!'ai[130].isInvScale'</f>
        <v>0</v>
      </c>
    </row>
    <row r="135" spans="1:65">
      <c r="A135" s="445"/>
      <c r="B135" s="446"/>
      <c r="C135" s="221">
        <v>3</v>
      </c>
      <c r="D135" s="221">
        <v>3</v>
      </c>
      <c r="E135" s="222" t="s">
        <v>371</v>
      </c>
      <c r="F135" s="222" t="s">
        <v>372</v>
      </c>
      <c r="G135" s="207">
        <f>[1]!'ai[131].ZL'</f>
        <v>0</v>
      </c>
      <c r="H135" s="207">
        <f>[1]!'ai[131].ZH'</f>
        <v>300</v>
      </c>
      <c r="I135" s="221" t="s">
        <v>366</v>
      </c>
      <c r="J135" s="207">
        <f>[1]!'ai[131].RL.V'</f>
        <v>40</v>
      </c>
      <c r="K135" s="207">
        <f>[1]!'ai[131].RH.V'</f>
        <v>160</v>
      </c>
      <c r="L135" s="207">
        <f>[1]!'ai[131].L.V'</f>
        <v>0</v>
      </c>
      <c r="M135" s="207">
        <f>[1]!'ai[131].H.V'</f>
        <v>0</v>
      </c>
      <c r="N135" s="207">
        <f>[1]!'ai[131].LL.V'</f>
        <v>0</v>
      </c>
      <c r="O135" s="207">
        <f>[1]!'ai[131].HH.V'</f>
        <v>0</v>
      </c>
      <c r="P135" s="223">
        <v>1</v>
      </c>
      <c r="Q135" s="224">
        <v>0</v>
      </c>
      <c r="R135" s="184"/>
      <c r="T135" s="207">
        <f>[1]!'ai[131].group'</f>
        <v>3</v>
      </c>
      <c r="X135" s="207">
        <f>[1]!'ai[131].EN'</f>
        <v>1</v>
      </c>
      <c r="Y135" s="207">
        <f>[1]!'ai[131].i'</f>
        <v>3.7689210000000002E-3</v>
      </c>
      <c r="Z135" s="207">
        <f>[1]!'ai[131].isForce'</f>
        <v>0</v>
      </c>
      <c r="AA135" s="207" t="e">
        <f>[1]!'ai[131].vRaw'</f>
        <v>#REF!</v>
      </c>
      <c r="AB135" s="207">
        <f>[1]!'ai[131].isCorrect'</f>
        <v>0</v>
      </c>
      <c r="AC135" s="207" t="e">
        <f>[1]!'ai[131].vCorrect'</f>
        <v>#REF!</v>
      </c>
      <c r="AD135" s="207">
        <f>[1]!'ai[131].v'</f>
        <v>0</v>
      </c>
      <c r="AE135" s="207" t="e">
        <f>[1]!'ai[131].isCut'</f>
        <v>#REF!</v>
      </c>
      <c r="AF135" s="207" t="e">
        <f>[1]!'ai[131].vCut'</f>
        <v>#REF!</v>
      </c>
      <c r="AG135" s="208"/>
      <c r="AH135" s="207">
        <f>[1]!'ai[131].break.sgn'</f>
        <v>1</v>
      </c>
      <c r="AI135" s="208"/>
      <c r="AJ135" s="207">
        <f>[1]!'ai[131].ZL'</f>
        <v>0</v>
      </c>
      <c r="AK135" s="207">
        <f>[1]!'ai[131].ZH'</f>
        <v>300</v>
      </c>
      <c r="AL135" s="208"/>
      <c r="AM135" s="207">
        <f>[1]!'ai[131].RL.EN'</f>
        <v>1</v>
      </c>
      <c r="AN135" s="207">
        <f>[1]!'ai[131].RL.V'</f>
        <v>40</v>
      </c>
      <c r="AO135" s="207">
        <f>[1]!'ai[131].RL.fix'</f>
        <v>0</v>
      </c>
      <c r="AP135" s="208"/>
      <c r="AQ135" s="207">
        <f>[1]!'ai[131].RH.EN'</f>
        <v>1</v>
      </c>
      <c r="AR135" s="207">
        <f>[1]!'ai[131].RH.V'</f>
        <v>160</v>
      </c>
      <c r="AS135" s="207">
        <f>[1]!'ai[131].RH.fix'</f>
        <v>0</v>
      </c>
      <c r="AT135" s="208"/>
      <c r="AU135" s="207">
        <f>[1]!'ai[131].L.EN'</f>
        <v>0</v>
      </c>
      <c r="AV135" s="207">
        <f>[1]!'ai[131].L.V'</f>
        <v>0</v>
      </c>
      <c r="AW135" s="207">
        <f>[1]!'ai[131].L.fix'</f>
        <v>0</v>
      </c>
      <c r="AX135" s="208"/>
      <c r="AY135" s="207">
        <f>[1]!'ai[131].H.EN'</f>
        <v>0</v>
      </c>
      <c r="AZ135" s="207">
        <f>[1]!'ai[131].H.V'</f>
        <v>0</v>
      </c>
      <c r="BA135" s="207">
        <f>[1]!'ai[131].H.fix'</f>
        <v>0</v>
      </c>
      <c r="BB135" s="208"/>
      <c r="BC135" s="207">
        <f>[1]!'ai[131].LL.EN'</f>
        <v>0</v>
      </c>
      <c r="BD135" s="207">
        <f>[1]!'ai[131].LL.V'</f>
        <v>0</v>
      </c>
      <c r="BE135" s="207">
        <f>[1]!'ai[131].LL.fix'</f>
        <v>0</v>
      </c>
      <c r="BF135" s="208"/>
      <c r="BG135" s="207">
        <f>[1]!'ai[131].HH.EN'</f>
        <v>0</v>
      </c>
      <c r="BH135" s="207">
        <f>[1]!'ai[131].HH.V'</f>
        <v>0</v>
      </c>
      <c r="BI135" s="207">
        <f>[1]!'ai[131].HH.fix'</f>
        <v>0</v>
      </c>
      <c r="BJ135" s="210"/>
      <c r="BK135" s="207">
        <f>[1]!'ai[131].group'</f>
        <v>3</v>
      </c>
      <c r="BL135" s="207">
        <f>[1]!'ai[131].state'</f>
        <v>4</v>
      </c>
      <c r="BM135" s="207">
        <f>[1]!'ai[131].isInvScale'</f>
        <v>0</v>
      </c>
    </row>
    <row r="136" spans="1:65">
      <c r="A136" s="445"/>
      <c r="B136" s="446"/>
      <c r="C136" s="221">
        <v>4</v>
      </c>
      <c r="D136" s="221">
        <v>4</v>
      </c>
      <c r="E136" s="222" t="s">
        <v>373</v>
      </c>
      <c r="F136" s="222" t="s">
        <v>374</v>
      </c>
      <c r="G136" s="207">
        <f>[1]!'ai[132].ZL'</f>
        <v>0</v>
      </c>
      <c r="H136" s="207">
        <f>[1]!'ai[132].ZH'</f>
        <v>300</v>
      </c>
      <c r="I136" s="221" t="s">
        <v>366</v>
      </c>
      <c r="J136" s="207">
        <f>[1]!'ai[132].RL.V'</f>
        <v>40</v>
      </c>
      <c r="K136" s="207">
        <f>[1]!'ai[132].RH.V'</f>
        <v>160</v>
      </c>
      <c r="L136" s="207">
        <f>[1]!'ai[132].L.V'</f>
        <v>0</v>
      </c>
      <c r="M136" s="207">
        <f>[1]!'ai[132].H.V'</f>
        <v>0</v>
      </c>
      <c r="N136" s="207">
        <f>[1]!'ai[132].LL.V'</f>
        <v>0</v>
      </c>
      <c r="O136" s="207">
        <f>[1]!'ai[132].HH.V'</f>
        <v>0</v>
      </c>
      <c r="P136" s="223">
        <v>1</v>
      </c>
      <c r="Q136" s="224">
        <v>0</v>
      </c>
      <c r="R136" s="184"/>
      <c r="T136" s="207">
        <f>[1]!'ai[132].group'</f>
        <v>3</v>
      </c>
      <c r="X136" s="207">
        <f>[1]!'ai[132].EN'</f>
        <v>1</v>
      </c>
      <c r="Y136" s="207">
        <f>[1]!'ai[132].i'</f>
        <v>2.5129319999999998E-3</v>
      </c>
      <c r="Z136" s="207">
        <f>[1]!'ai[132].isForce'</f>
        <v>0</v>
      </c>
      <c r="AA136" s="207" t="e">
        <f>[1]!'ai[132].vRaw'</f>
        <v>#REF!</v>
      </c>
      <c r="AB136" s="207">
        <f>[1]!'ai[132].isCorrect'</f>
        <v>0</v>
      </c>
      <c r="AC136" s="207" t="e">
        <f>[1]!'ai[132].vCorrect'</f>
        <v>#REF!</v>
      </c>
      <c r="AD136" s="207">
        <f>[1]!'ai[132].v'</f>
        <v>0</v>
      </c>
      <c r="AE136" s="207" t="e">
        <f>[1]!'ai[132].isCut'</f>
        <v>#REF!</v>
      </c>
      <c r="AF136" s="207" t="e">
        <f>[1]!'ai[132].vCut'</f>
        <v>#REF!</v>
      </c>
      <c r="AG136" s="208"/>
      <c r="AH136" s="207">
        <f>[1]!'ai[132].break.sgn'</f>
        <v>1</v>
      </c>
      <c r="AI136" s="208"/>
      <c r="AJ136" s="207">
        <f>[1]!'ai[132].ZL'</f>
        <v>0</v>
      </c>
      <c r="AK136" s="207">
        <f>[1]!'ai[132].ZH'</f>
        <v>300</v>
      </c>
      <c r="AL136" s="208"/>
      <c r="AM136" s="207">
        <f>[1]!'ai[132].RL.EN'</f>
        <v>1</v>
      </c>
      <c r="AN136" s="207">
        <f>[1]!'ai[132].RL.V'</f>
        <v>40</v>
      </c>
      <c r="AO136" s="207">
        <f>[1]!'ai[132].RL.fix'</f>
        <v>0</v>
      </c>
      <c r="AP136" s="208"/>
      <c r="AQ136" s="207">
        <f>[1]!'ai[132].RH.EN'</f>
        <v>1</v>
      </c>
      <c r="AR136" s="207">
        <f>[1]!'ai[132].RH.V'</f>
        <v>160</v>
      </c>
      <c r="AS136" s="207">
        <f>[1]!'ai[132].RH.fix'</f>
        <v>0</v>
      </c>
      <c r="AT136" s="208"/>
      <c r="AU136" s="207">
        <f>[1]!'ai[132].L.EN'</f>
        <v>0</v>
      </c>
      <c r="AV136" s="207">
        <f>[1]!'ai[132].L.V'</f>
        <v>0</v>
      </c>
      <c r="AW136" s="207">
        <f>[1]!'ai[132].L.fix'</f>
        <v>0</v>
      </c>
      <c r="AX136" s="208"/>
      <c r="AY136" s="207">
        <f>[1]!'ai[132].H.EN'</f>
        <v>0</v>
      </c>
      <c r="AZ136" s="207">
        <f>[1]!'ai[132].H.V'</f>
        <v>0</v>
      </c>
      <c r="BA136" s="207">
        <f>[1]!'ai[132].H.fix'</f>
        <v>0</v>
      </c>
      <c r="BB136" s="208"/>
      <c r="BC136" s="207">
        <f>[1]!'ai[132].LL.EN'</f>
        <v>0</v>
      </c>
      <c r="BD136" s="207">
        <f>[1]!'ai[132].LL.V'</f>
        <v>0</v>
      </c>
      <c r="BE136" s="207">
        <f>[1]!'ai[132].LL.fix'</f>
        <v>0</v>
      </c>
      <c r="BF136" s="208"/>
      <c r="BG136" s="207">
        <f>[1]!'ai[132].HH.EN'</f>
        <v>0</v>
      </c>
      <c r="BH136" s="207">
        <f>[1]!'ai[132].HH.V'</f>
        <v>0</v>
      </c>
      <c r="BI136" s="207">
        <f>[1]!'ai[132].HH.fix'</f>
        <v>0</v>
      </c>
      <c r="BJ136" s="210"/>
      <c r="BK136" s="207">
        <f>[1]!'ai[132].group'</f>
        <v>3</v>
      </c>
      <c r="BL136" s="207">
        <f>[1]!'ai[132].state'</f>
        <v>4</v>
      </c>
      <c r="BM136" s="207">
        <f>[1]!'ai[132].isInvScale'</f>
        <v>0</v>
      </c>
    </row>
    <row r="137" spans="1:65">
      <c r="A137" s="445"/>
      <c r="B137" s="446"/>
      <c r="C137" s="221">
        <v>5</v>
      </c>
      <c r="D137" s="221">
        <v>5</v>
      </c>
      <c r="E137" s="222" t="s">
        <v>375</v>
      </c>
      <c r="F137" s="222" t="s">
        <v>376</v>
      </c>
      <c r="G137" s="207">
        <f>[1]!'ai[133].ZL'</f>
        <v>0</v>
      </c>
      <c r="H137" s="207">
        <f>[1]!'ai[133].ZH'</f>
        <v>300</v>
      </c>
      <c r="I137" s="221" t="s">
        <v>366</v>
      </c>
      <c r="J137" s="207">
        <f>[1]!'ai[133].RL.V'</f>
        <v>40</v>
      </c>
      <c r="K137" s="207">
        <f>[1]!'ai[133].RH.V'</f>
        <v>160</v>
      </c>
      <c r="L137" s="207">
        <f>[1]!'ai[133].L.V'</f>
        <v>0</v>
      </c>
      <c r="M137" s="207">
        <f>[1]!'ai[133].H.V'</f>
        <v>0</v>
      </c>
      <c r="N137" s="207">
        <f>[1]!'ai[133].LL.V'</f>
        <v>0</v>
      </c>
      <c r="O137" s="207">
        <f>[1]!'ai[133].HH.V'</f>
        <v>0</v>
      </c>
      <c r="P137" s="223">
        <v>1</v>
      </c>
      <c r="Q137" s="224">
        <v>0</v>
      </c>
      <c r="R137" s="184"/>
      <c r="T137" s="207">
        <f>[1]!'ai[133].group'</f>
        <v>3</v>
      </c>
      <c r="X137" s="207">
        <f>[1]!'ai[133].EN'</f>
        <v>1</v>
      </c>
      <c r="Y137" s="207">
        <f>[1]!'ai[133].i'</f>
        <v>2.8266910000000001E-3</v>
      </c>
      <c r="Z137" s="207">
        <f>[1]!'ai[133].isForce'</f>
        <v>0</v>
      </c>
      <c r="AA137" s="207" t="e">
        <f>[1]!'ai[133].vRaw'</f>
        <v>#REF!</v>
      </c>
      <c r="AB137" s="207">
        <f>[1]!'ai[133].isCorrect'</f>
        <v>0</v>
      </c>
      <c r="AC137" s="207" t="e">
        <f>[1]!'ai[133].vCorrect'</f>
        <v>#REF!</v>
      </c>
      <c r="AD137" s="207">
        <f>[1]!'ai[133].v'</f>
        <v>0</v>
      </c>
      <c r="AE137" s="207" t="e">
        <f>[1]!'ai[133].isCut'</f>
        <v>#REF!</v>
      </c>
      <c r="AF137" s="207" t="e">
        <f>[1]!'ai[133].vCut'</f>
        <v>#REF!</v>
      </c>
      <c r="AG137" s="208"/>
      <c r="AH137" s="207">
        <f>[1]!'ai[133].break.sgn'</f>
        <v>1</v>
      </c>
      <c r="AI137" s="208"/>
      <c r="AJ137" s="207">
        <f>[1]!'ai[133].ZL'</f>
        <v>0</v>
      </c>
      <c r="AK137" s="207">
        <f>[1]!'ai[133].ZH'</f>
        <v>300</v>
      </c>
      <c r="AL137" s="208"/>
      <c r="AM137" s="207">
        <f>[1]!'ai[133].RL.EN'</f>
        <v>1</v>
      </c>
      <c r="AN137" s="207">
        <f>[1]!'ai[133].RL.V'</f>
        <v>40</v>
      </c>
      <c r="AO137" s="207">
        <f>[1]!'ai[133].RL.fix'</f>
        <v>0</v>
      </c>
      <c r="AP137" s="208"/>
      <c r="AQ137" s="207">
        <f>[1]!'ai[133].RH.EN'</f>
        <v>1</v>
      </c>
      <c r="AR137" s="207">
        <f>[1]!'ai[133].RH.V'</f>
        <v>160</v>
      </c>
      <c r="AS137" s="207">
        <f>[1]!'ai[133].RH.fix'</f>
        <v>0</v>
      </c>
      <c r="AT137" s="208"/>
      <c r="AU137" s="207">
        <f>[1]!'ai[133].L.EN'</f>
        <v>0</v>
      </c>
      <c r="AV137" s="207">
        <f>[1]!'ai[133].L.V'</f>
        <v>0</v>
      </c>
      <c r="AW137" s="207">
        <f>[1]!'ai[133].L.fix'</f>
        <v>0</v>
      </c>
      <c r="AX137" s="208"/>
      <c r="AY137" s="207">
        <f>[1]!'ai[133].H.EN'</f>
        <v>0</v>
      </c>
      <c r="AZ137" s="207">
        <f>[1]!'ai[133].H.V'</f>
        <v>0</v>
      </c>
      <c r="BA137" s="207">
        <f>[1]!'ai[133].H.fix'</f>
        <v>0</v>
      </c>
      <c r="BB137" s="208"/>
      <c r="BC137" s="207">
        <f>[1]!'ai[133].LL.EN'</f>
        <v>0</v>
      </c>
      <c r="BD137" s="207">
        <f>[1]!'ai[133].LL.V'</f>
        <v>0</v>
      </c>
      <c r="BE137" s="207">
        <f>[1]!'ai[133].LL.fix'</f>
        <v>0</v>
      </c>
      <c r="BF137" s="208"/>
      <c r="BG137" s="207">
        <f>[1]!'ai[133].HH.EN'</f>
        <v>0</v>
      </c>
      <c r="BH137" s="207">
        <f>[1]!'ai[133].HH.V'</f>
        <v>0</v>
      </c>
      <c r="BI137" s="207">
        <f>[1]!'ai[133].HH.fix'</f>
        <v>0</v>
      </c>
      <c r="BJ137" s="210"/>
      <c r="BK137" s="207">
        <f>[1]!'ai[133].group'</f>
        <v>3</v>
      </c>
      <c r="BL137" s="207">
        <f>[1]!'ai[133].state'</f>
        <v>4</v>
      </c>
      <c r="BM137" s="207">
        <f>[1]!'ai[133].isInvScale'</f>
        <v>0</v>
      </c>
    </row>
    <row r="138" spans="1:65">
      <c r="A138" s="445"/>
      <c r="B138" s="446"/>
      <c r="C138" s="221">
        <v>6</v>
      </c>
      <c r="D138" s="221">
        <v>6</v>
      </c>
      <c r="E138" s="222" t="s">
        <v>377</v>
      </c>
      <c r="F138" s="222" t="s">
        <v>378</v>
      </c>
      <c r="G138" s="207">
        <f>[1]!'ai[134].ZL'</f>
        <v>0</v>
      </c>
      <c r="H138" s="207">
        <f>[1]!'ai[134].ZH'</f>
        <v>300</v>
      </c>
      <c r="I138" s="221" t="s">
        <v>366</v>
      </c>
      <c r="J138" s="207">
        <f>[1]!'ai[134].RL.V'</f>
        <v>130</v>
      </c>
      <c r="K138" s="207">
        <f>[1]!'ai[134].RH.V'</f>
        <v>250</v>
      </c>
      <c r="L138" s="207">
        <f>[1]!'ai[134].L.V'</f>
        <v>0</v>
      </c>
      <c r="M138" s="207">
        <f>[1]!'ai[134].H.V'</f>
        <v>0</v>
      </c>
      <c r="N138" s="207">
        <f>[1]!'ai[134].LL.V'</f>
        <v>0</v>
      </c>
      <c r="O138" s="207">
        <f>[1]!'ai[134].HH.V'</f>
        <v>0</v>
      </c>
      <c r="P138" s="223">
        <v>1</v>
      </c>
      <c r="Q138" s="224">
        <v>0</v>
      </c>
      <c r="R138" s="184"/>
      <c r="T138" s="207">
        <f>[1]!'ai[134].group'</f>
        <v>3</v>
      </c>
      <c r="X138" s="207">
        <f>[1]!'ai[134].EN'</f>
        <v>1</v>
      </c>
      <c r="Y138" s="207">
        <f>[1]!'ai[134].i'</f>
        <v>2.8266910000000001E-3</v>
      </c>
      <c r="Z138" s="207">
        <f>[1]!'ai[134].isForce'</f>
        <v>0</v>
      </c>
      <c r="AA138" s="207" t="e">
        <f>[1]!'ai[134].vRaw'</f>
        <v>#REF!</v>
      </c>
      <c r="AB138" s="207">
        <f>[1]!'ai[134].isCorrect'</f>
        <v>0</v>
      </c>
      <c r="AC138" s="207" t="e">
        <f>[1]!'ai[134].vCorrect'</f>
        <v>#REF!</v>
      </c>
      <c r="AD138" s="207">
        <f>[1]!'ai[134].v'</f>
        <v>0</v>
      </c>
      <c r="AE138" s="207" t="e">
        <f>[1]!'ai[134].isCut'</f>
        <v>#REF!</v>
      </c>
      <c r="AF138" s="207" t="e">
        <f>[1]!'ai[134].vCut'</f>
        <v>#REF!</v>
      </c>
      <c r="AG138" s="208"/>
      <c r="AH138" s="207">
        <f>[1]!'ai[134].break.sgn'</f>
        <v>1</v>
      </c>
      <c r="AI138" s="208"/>
      <c r="AJ138" s="207">
        <f>[1]!'ai[134].ZL'</f>
        <v>0</v>
      </c>
      <c r="AK138" s="207">
        <f>[1]!'ai[134].ZH'</f>
        <v>300</v>
      </c>
      <c r="AL138" s="208"/>
      <c r="AM138" s="207">
        <f>[1]!'ai[134].RL.EN'</f>
        <v>1</v>
      </c>
      <c r="AN138" s="207">
        <f>[1]!'ai[134].RL.V'</f>
        <v>130</v>
      </c>
      <c r="AO138" s="207">
        <f>[1]!'ai[134].RL.fix'</f>
        <v>0</v>
      </c>
      <c r="AP138" s="208"/>
      <c r="AQ138" s="207">
        <f>[1]!'ai[134].RH.EN'</f>
        <v>1</v>
      </c>
      <c r="AR138" s="207">
        <f>[1]!'ai[134].RH.V'</f>
        <v>250</v>
      </c>
      <c r="AS138" s="207">
        <f>[1]!'ai[134].RH.fix'</f>
        <v>0</v>
      </c>
      <c r="AT138" s="208"/>
      <c r="AU138" s="207">
        <f>[1]!'ai[134].L.EN'</f>
        <v>0</v>
      </c>
      <c r="AV138" s="207">
        <f>[1]!'ai[134].L.V'</f>
        <v>0</v>
      </c>
      <c r="AW138" s="207">
        <f>[1]!'ai[134].L.fix'</f>
        <v>0</v>
      </c>
      <c r="AX138" s="208"/>
      <c r="AY138" s="207">
        <f>[1]!'ai[134].H.EN'</f>
        <v>0</v>
      </c>
      <c r="AZ138" s="207">
        <f>[1]!'ai[134].H.V'</f>
        <v>0</v>
      </c>
      <c r="BA138" s="207">
        <f>[1]!'ai[134].H.fix'</f>
        <v>0</v>
      </c>
      <c r="BB138" s="208"/>
      <c r="BC138" s="207">
        <f>[1]!'ai[134].LL.EN'</f>
        <v>0</v>
      </c>
      <c r="BD138" s="207">
        <f>[1]!'ai[134].LL.V'</f>
        <v>0</v>
      </c>
      <c r="BE138" s="207">
        <f>[1]!'ai[134].LL.fix'</f>
        <v>0</v>
      </c>
      <c r="BF138" s="208"/>
      <c r="BG138" s="207">
        <f>[1]!'ai[134].HH.EN'</f>
        <v>0</v>
      </c>
      <c r="BH138" s="207">
        <f>[1]!'ai[134].HH.V'</f>
        <v>0</v>
      </c>
      <c r="BI138" s="207">
        <f>[1]!'ai[134].HH.fix'</f>
        <v>0</v>
      </c>
      <c r="BJ138" s="210"/>
      <c r="BK138" s="207">
        <f>[1]!'ai[134].group'</f>
        <v>3</v>
      </c>
      <c r="BL138" s="207">
        <f>[1]!'ai[134].state'</f>
        <v>4</v>
      </c>
      <c r="BM138" s="207">
        <f>[1]!'ai[134].isInvScale'</f>
        <v>0</v>
      </c>
    </row>
    <row r="139" spans="1:65">
      <c r="A139" s="445"/>
      <c r="B139" s="446"/>
      <c r="C139" s="221">
        <v>7</v>
      </c>
      <c r="D139" s="221">
        <v>7</v>
      </c>
      <c r="E139" s="222" t="s">
        <v>379</v>
      </c>
      <c r="F139" s="222" t="s">
        <v>380</v>
      </c>
      <c r="G139" s="207">
        <f>[1]!'ai[135].ZL'</f>
        <v>0</v>
      </c>
      <c r="H139" s="207">
        <f>[1]!'ai[135].ZH'</f>
        <v>100</v>
      </c>
      <c r="I139" s="221" t="s">
        <v>366</v>
      </c>
      <c r="J139" s="207">
        <f>[1]!'ai[135].RL.V'</f>
        <v>0</v>
      </c>
      <c r="K139" s="207">
        <f>[1]!'ai[135].RH.V'</f>
        <v>85</v>
      </c>
      <c r="L139" s="207">
        <f>[1]!'ai[135].L.V'</f>
        <v>0</v>
      </c>
      <c r="M139" s="207">
        <f>[1]!'ai[135].H.V'</f>
        <v>0</v>
      </c>
      <c r="N139" s="207">
        <f>[1]!'ai[135].LL.V'</f>
        <v>0</v>
      </c>
      <c r="O139" s="207">
        <f>[1]!'ai[135].HH.V'</f>
        <v>0</v>
      </c>
      <c r="P139" s="223">
        <v>1</v>
      </c>
      <c r="Q139" s="224">
        <v>0</v>
      </c>
      <c r="R139" s="184"/>
      <c r="T139" s="207">
        <f>[1]!'ai[135].group'</f>
        <v>3</v>
      </c>
      <c r="X139" s="207">
        <f>[1]!'ai[135].EN'</f>
        <v>1</v>
      </c>
      <c r="Y139" s="207">
        <f>[1]!'ai[135].i'</f>
        <v>2.5129319999999998E-3</v>
      </c>
      <c r="Z139" s="207">
        <f>[1]!'ai[135].isForce'</f>
        <v>0</v>
      </c>
      <c r="AA139" s="207" t="e">
        <f>[1]!'ai[135].vRaw'</f>
        <v>#REF!</v>
      </c>
      <c r="AB139" s="207">
        <f>[1]!'ai[135].isCorrect'</f>
        <v>0</v>
      </c>
      <c r="AC139" s="207" t="e">
        <f>[1]!'ai[135].vCorrect'</f>
        <v>#REF!</v>
      </c>
      <c r="AD139" s="207">
        <f>[1]!'ai[135].v'</f>
        <v>0</v>
      </c>
      <c r="AE139" s="207" t="e">
        <f>[1]!'ai[135].isCut'</f>
        <v>#REF!</v>
      </c>
      <c r="AF139" s="207" t="e">
        <f>[1]!'ai[135].vCut'</f>
        <v>#REF!</v>
      </c>
      <c r="AG139" s="208"/>
      <c r="AH139" s="207">
        <f>[1]!'ai[135].break.sgn'</f>
        <v>1</v>
      </c>
      <c r="AI139" s="208"/>
      <c r="AJ139" s="207">
        <f>[1]!'ai[135].ZL'</f>
        <v>0</v>
      </c>
      <c r="AK139" s="207">
        <f>[1]!'ai[135].ZH'</f>
        <v>100</v>
      </c>
      <c r="AL139" s="208"/>
      <c r="AM139" s="207">
        <f>[1]!'ai[135].RL.EN'</f>
        <v>1</v>
      </c>
      <c r="AN139" s="207">
        <f>[1]!'ai[135].RL.V'</f>
        <v>0</v>
      </c>
      <c r="AO139" s="207">
        <f>[1]!'ai[135].RL.fix'</f>
        <v>0</v>
      </c>
      <c r="AP139" s="208"/>
      <c r="AQ139" s="207">
        <f>[1]!'ai[135].RH.EN'</f>
        <v>1</v>
      </c>
      <c r="AR139" s="207">
        <f>[1]!'ai[135].RH.V'</f>
        <v>85</v>
      </c>
      <c r="AS139" s="207">
        <f>[1]!'ai[135].RH.fix'</f>
        <v>0</v>
      </c>
      <c r="AT139" s="208"/>
      <c r="AU139" s="207">
        <f>[1]!'ai[135].L.EN'</f>
        <v>0</v>
      </c>
      <c r="AV139" s="207">
        <f>[1]!'ai[135].L.V'</f>
        <v>0</v>
      </c>
      <c r="AW139" s="207">
        <f>[1]!'ai[135].L.fix'</f>
        <v>0</v>
      </c>
      <c r="AX139" s="208"/>
      <c r="AY139" s="207">
        <f>[1]!'ai[135].H.EN'</f>
        <v>0</v>
      </c>
      <c r="AZ139" s="207">
        <f>[1]!'ai[135].H.V'</f>
        <v>0</v>
      </c>
      <c r="BA139" s="207">
        <f>[1]!'ai[135].H.fix'</f>
        <v>0</v>
      </c>
      <c r="BB139" s="208"/>
      <c r="BC139" s="207">
        <f>[1]!'ai[135].LL.EN'</f>
        <v>0</v>
      </c>
      <c r="BD139" s="207">
        <f>[1]!'ai[135].LL.V'</f>
        <v>0</v>
      </c>
      <c r="BE139" s="207">
        <f>[1]!'ai[135].LL.fix'</f>
        <v>0</v>
      </c>
      <c r="BF139" s="208"/>
      <c r="BG139" s="207">
        <f>[1]!'ai[135].HH.EN'</f>
        <v>0</v>
      </c>
      <c r="BH139" s="207">
        <f>[1]!'ai[135].HH.V'</f>
        <v>0</v>
      </c>
      <c r="BI139" s="207">
        <f>[1]!'ai[135].HH.fix'</f>
        <v>0</v>
      </c>
      <c r="BJ139" s="210"/>
      <c r="BK139" s="207">
        <f>[1]!'ai[135].group'</f>
        <v>3</v>
      </c>
      <c r="BL139" s="207">
        <f>[1]!'ai[135].state'</f>
        <v>4</v>
      </c>
      <c r="BM139" s="207">
        <f>[1]!'ai[135].isInvScale'</f>
        <v>0</v>
      </c>
    </row>
    <row r="140" spans="1:65">
      <c r="A140" s="445"/>
      <c r="B140" s="446"/>
      <c r="C140" s="221">
        <v>8</v>
      </c>
      <c r="D140" s="221">
        <v>8</v>
      </c>
      <c r="E140" s="222" t="s">
        <v>381</v>
      </c>
      <c r="F140" s="222" t="s">
        <v>382</v>
      </c>
      <c r="G140" s="207">
        <f>[1]!'ai[136].ZL'</f>
        <v>0</v>
      </c>
      <c r="H140" s="207">
        <f>[1]!'ai[136].ZH'</f>
        <v>300</v>
      </c>
      <c r="I140" s="221" t="s">
        <v>383</v>
      </c>
      <c r="J140" s="207">
        <f>[1]!'ai[136].RL.V'</f>
        <v>125</v>
      </c>
      <c r="K140" s="207">
        <f>[1]!'ai[136].RH.V'</f>
        <v>210</v>
      </c>
      <c r="L140" s="207">
        <f>[1]!'ai[136].L.V'</f>
        <v>0</v>
      </c>
      <c r="M140" s="207">
        <f>[1]!'ai[136].H.V'</f>
        <v>0</v>
      </c>
      <c r="N140" s="207">
        <f>[1]!'ai[136].LL.V'</f>
        <v>0</v>
      </c>
      <c r="O140" s="207">
        <f>[1]!'ai[136].HH.V'</f>
        <v>0</v>
      </c>
      <c r="P140" s="223">
        <v>1</v>
      </c>
      <c r="Q140" s="224"/>
      <c r="R140" s="184"/>
      <c r="T140" s="207">
        <f>[1]!'ai[136].group'</f>
        <v>3</v>
      </c>
      <c r="X140" s="207">
        <f>[1]!'ai[136].EN'</f>
        <v>1</v>
      </c>
      <c r="Y140" s="207">
        <f>[1]!'ai[136].i'</f>
        <v>2.198219E-3</v>
      </c>
      <c r="Z140" s="207">
        <f>[1]!'ai[136].isForce'</f>
        <v>0</v>
      </c>
      <c r="AA140" s="207" t="e">
        <f>[1]!'ai[136].vRaw'</f>
        <v>#REF!</v>
      </c>
      <c r="AB140" s="207">
        <f>[1]!'ai[136].isCorrect'</f>
        <v>0</v>
      </c>
      <c r="AC140" s="207" t="e">
        <f>[1]!'ai[136].vCorrect'</f>
        <v>#REF!</v>
      </c>
      <c r="AD140" s="207">
        <f>[1]!'ai[136].v'</f>
        <v>0</v>
      </c>
      <c r="AE140" s="207" t="e">
        <f>[1]!'ai[136].isCut'</f>
        <v>#REF!</v>
      </c>
      <c r="AF140" s="207" t="e">
        <f>[1]!'ai[136].vCut'</f>
        <v>#REF!</v>
      </c>
      <c r="AG140" s="208"/>
      <c r="AH140" s="207">
        <f>[1]!'ai[136].break.sgn'</f>
        <v>1</v>
      </c>
      <c r="AI140" s="208"/>
      <c r="AJ140" s="207">
        <f>[1]!'ai[136].ZL'</f>
        <v>0</v>
      </c>
      <c r="AK140" s="207">
        <f>[1]!'ai[136].ZH'</f>
        <v>300</v>
      </c>
      <c r="AL140" s="208"/>
      <c r="AM140" s="207">
        <f>[1]!'ai[136].RL.EN'</f>
        <v>1</v>
      </c>
      <c r="AN140" s="207">
        <f>[1]!'ai[136].RL.V'</f>
        <v>125</v>
      </c>
      <c r="AO140" s="207">
        <f>[1]!'ai[136].RL.fix'</f>
        <v>0</v>
      </c>
      <c r="AP140" s="208"/>
      <c r="AQ140" s="207">
        <f>[1]!'ai[136].RH.EN'</f>
        <v>1</v>
      </c>
      <c r="AR140" s="207">
        <f>[1]!'ai[136].RH.V'</f>
        <v>210</v>
      </c>
      <c r="AS140" s="207">
        <f>[1]!'ai[136].RH.fix'</f>
        <v>0</v>
      </c>
      <c r="AT140" s="208"/>
      <c r="AU140" s="207">
        <f>[1]!'ai[136].L.EN'</f>
        <v>0</v>
      </c>
      <c r="AV140" s="207">
        <f>[1]!'ai[136].L.V'</f>
        <v>0</v>
      </c>
      <c r="AW140" s="207">
        <f>[1]!'ai[136].L.fix'</f>
        <v>0</v>
      </c>
      <c r="AX140" s="208"/>
      <c r="AY140" s="207">
        <f>[1]!'ai[136].H.EN'</f>
        <v>0</v>
      </c>
      <c r="AZ140" s="207">
        <f>[1]!'ai[136].H.V'</f>
        <v>0</v>
      </c>
      <c r="BA140" s="207">
        <f>[1]!'ai[136].H.fix'</f>
        <v>0</v>
      </c>
      <c r="BB140" s="208"/>
      <c r="BC140" s="207">
        <f>[1]!'ai[136].LL.EN'</f>
        <v>0</v>
      </c>
      <c r="BD140" s="207">
        <f>[1]!'ai[136].LL.V'</f>
        <v>0</v>
      </c>
      <c r="BE140" s="207">
        <f>[1]!'ai[136].LL.fix'</f>
        <v>0</v>
      </c>
      <c r="BF140" s="208"/>
      <c r="BG140" s="207">
        <f>[1]!'ai[136].HH.EN'</f>
        <v>0</v>
      </c>
      <c r="BH140" s="207">
        <f>[1]!'ai[136].HH.V'</f>
        <v>0</v>
      </c>
      <c r="BI140" s="207">
        <f>[1]!'ai[136].HH.fix'</f>
        <v>0</v>
      </c>
      <c r="BJ140" s="209"/>
      <c r="BK140" s="207">
        <f>[1]!'ai[136].group'</f>
        <v>3</v>
      </c>
      <c r="BL140" s="207">
        <f>[1]!'ai[136].state'</f>
        <v>4</v>
      </c>
      <c r="BM140" s="207">
        <f>[1]!'ai[136].isInvScale'</f>
        <v>0</v>
      </c>
    </row>
    <row r="141" spans="1:65">
      <c r="A141" s="445"/>
      <c r="B141" s="446"/>
      <c r="C141" s="221">
        <v>9</v>
      </c>
      <c r="D141" s="221">
        <v>9</v>
      </c>
      <c r="E141" s="222" t="s">
        <v>384</v>
      </c>
      <c r="F141" s="222" t="s">
        <v>385</v>
      </c>
      <c r="G141" s="207">
        <f>[1]!'ai[137].ZL'</f>
        <v>0</v>
      </c>
      <c r="H141" s="207">
        <f>[1]!'ai[137].ZH'</f>
        <v>300</v>
      </c>
      <c r="I141" s="221" t="s">
        <v>383</v>
      </c>
      <c r="J141" s="207">
        <f>[1]!'ai[137].RL.V'</f>
        <v>125</v>
      </c>
      <c r="K141" s="207">
        <f>[1]!'ai[137].RH.V'</f>
        <v>210</v>
      </c>
      <c r="L141" s="207">
        <f>[1]!'ai[137].L.V'</f>
        <v>0</v>
      </c>
      <c r="M141" s="207">
        <f>[1]!'ai[137].H.V'</f>
        <v>0</v>
      </c>
      <c r="N141" s="207">
        <f>[1]!'ai[137].LL.V'</f>
        <v>0</v>
      </c>
      <c r="O141" s="207">
        <f>[1]!'ai[137].HH.V'</f>
        <v>0</v>
      </c>
      <c r="P141" s="223">
        <v>1</v>
      </c>
      <c r="Q141" s="224"/>
      <c r="R141" s="184"/>
      <c r="T141" s="207">
        <f>[1]!'ai[137].group'</f>
        <v>3</v>
      </c>
      <c r="X141" s="207">
        <f>[1]!'ai[137].EN'</f>
        <v>1</v>
      </c>
      <c r="Y141" s="207">
        <f>[1]!'ai[137].i'</f>
        <v>2.5129319999999998E-3</v>
      </c>
      <c r="Z141" s="207">
        <f>[1]!'ai[137].isForce'</f>
        <v>0</v>
      </c>
      <c r="AA141" s="207" t="e">
        <f>[1]!'ai[137].vRaw'</f>
        <v>#REF!</v>
      </c>
      <c r="AB141" s="207">
        <f>[1]!'ai[137].isCorrect'</f>
        <v>0</v>
      </c>
      <c r="AC141" s="207" t="e">
        <f>[1]!'ai[137].vCorrect'</f>
        <v>#REF!</v>
      </c>
      <c r="AD141" s="207">
        <f>[1]!'ai[137].v'</f>
        <v>0</v>
      </c>
      <c r="AE141" s="207" t="e">
        <f>[1]!'ai[137].isCut'</f>
        <v>#REF!</v>
      </c>
      <c r="AF141" s="207" t="e">
        <f>[1]!'ai[137].vCut'</f>
        <v>#REF!</v>
      </c>
      <c r="AG141" s="208"/>
      <c r="AH141" s="207">
        <f>[1]!'ai[137].break.sgn'</f>
        <v>1</v>
      </c>
      <c r="AI141" s="208"/>
      <c r="AJ141" s="207">
        <f>[1]!'ai[137].ZL'</f>
        <v>0</v>
      </c>
      <c r="AK141" s="207">
        <f>[1]!'ai[137].ZH'</f>
        <v>300</v>
      </c>
      <c r="AL141" s="208"/>
      <c r="AM141" s="207">
        <f>[1]!'ai[137].RL.EN'</f>
        <v>1</v>
      </c>
      <c r="AN141" s="207">
        <f>[1]!'ai[137].RL.V'</f>
        <v>125</v>
      </c>
      <c r="AO141" s="207">
        <f>[1]!'ai[137].RL.fix'</f>
        <v>0</v>
      </c>
      <c r="AP141" s="208"/>
      <c r="AQ141" s="207">
        <f>[1]!'ai[137].RH.EN'</f>
        <v>1</v>
      </c>
      <c r="AR141" s="207">
        <f>[1]!'ai[137].RH.V'</f>
        <v>210</v>
      </c>
      <c r="AS141" s="207">
        <f>[1]!'ai[137].RH.fix'</f>
        <v>0</v>
      </c>
      <c r="AT141" s="208"/>
      <c r="AU141" s="207">
        <f>[1]!'ai[137].L.EN'</f>
        <v>0</v>
      </c>
      <c r="AV141" s="207">
        <f>[1]!'ai[137].L.V'</f>
        <v>0</v>
      </c>
      <c r="AW141" s="207">
        <f>[1]!'ai[137].L.fix'</f>
        <v>0</v>
      </c>
      <c r="AX141" s="208"/>
      <c r="AY141" s="207">
        <f>[1]!'ai[137].H.EN'</f>
        <v>0</v>
      </c>
      <c r="AZ141" s="207">
        <f>[1]!'ai[137].H.V'</f>
        <v>0</v>
      </c>
      <c r="BA141" s="207">
        <f>[1]!'ai[137].H.fix'</f>
        <v>0</v>
      </c>
      <c r="BB141" s="208"/>
      <c r="BC141" s="207">
        <f>[1]!'ai[137].LL.EN'</f>
        <v>0</v>
      </c>
      <c r="BD141" s="207">
        <f>[1]!'ai[137].LL.V'</f>
        <v>0</v>
      </c>
      <c r="BE141" s="207">
        <f>[1]!'ai[137].LL.fix'</f>
        <v>0</v>
      </c>
      <c r="BF141" s="208"/>
      <c r="BG141" s="207">
        <f>[1]!'ai[137].HH.EN'</f>
        <v>0</v>
      </c>
      <c r="BH141" s="207">
        <f>[1]!'ai[137].HH.V'</f>
        <v>0</v>
      </c>
      <c r="BI141" s="207">
        <f>[1]!'ai[137].HH.fix'</f>
        <v>0</v>
      </c>
      <c r="BJ141" s="209"/>
      <c r="BK141" s="207">
        <f>[1]!'ai[137].group'</f>
        <v>3</v>
      </c>
      <c r="BL141" s="207">
        <f>[1]!'ai[137].state'</f>
        <v>4</v>
      </c>
      <c r="BM141" s="207">
        <f>[1]!'ai[137].isInvScale'</f>
        <v>0</v>
      </c>
    </row>
    <row r="142" spans="1:65">
      <c r="A142" s="445"/>
      <c r="B142" s="446"/>
      <c r="C142" s="221">
        <v>10</v>
      </c>
      <c r="D142" s="221">
        <v>10</v>
      </c>
      <c r="E142" s="222" t="s">
        <v>386</v>
      </c>
      <c r="F142" s="222" t="s">
        <v>387</v>
      </c>
      <c r="G142" s="207">
        <f>[1]!'ai[138].ZL'</f>
        <v>0</v>
      </c>
      <c r="H142" s="207">
        <f>[1]!'ai[138].ZH'</f>
        <v>300</v>
      </c>
      <c r="I142" s="221" t="s">
        <v>366</v>
      </c>
      <c r="J142" s="207">
        <f>[1]!'ai[138].RL.V'</f>
        <v>125</v>
      </c>
      <c r="K142" s="207">
        <f>[1]!'ai[138].RH.V'</f>
        <v>210</v>
      </c>
      <c r="L142" s="207">
        <f>[1]!'ai[138].L.V'</f>
        <v>0</v>
      </c>
      <c r="M142" s="207">
        <f>[1]!'ai[138].H.V'</f>
        <v>0</v>
      </c>
      <c r="N142" s="207">
        <f>[1]!'ai[138].LL.V'</f>
        <v>0</v>
      </c>
      <c r="O142" s="207">
        <f>[1]!'ai[138].HH.V'</f>
        <v>0</v>
      </c>
      <c r="P142" s="223">
        <v>4</v>
      </c>
      <c r="Q142" s="224">
        <v>3</v>
      </c>
      <c r="R142" s="184"/>
      <c r="T142" s="207">
        <f>[1]!'ai[138].group'</f>
        <v>3</v>
      </c>
      <c r="X142" s="207">
        <f>[1]!'ai[138].EN'</f>
        <v>1</v>
      </c>
      <c r="Y142" s="207">
        <f>[1]!'ai[138].i'</f>
        <v>2.8266910000000001E-3</v>
      </c>
      <c r="Z142" s="207">
        <f>[1]!'ai[138].isForce'</f>
        <v>0</v>
      </c>
      <c r="AA142" s="207" t="e">
        <f>[1]!'ai[138].vRaw'</f>
        <v>#REF!</v>
      </c>
      <c r="AB142" s="207">
        <f>[1]!'ai[138].isCorrect'</f>
        <v>0</v>
      </c>
      <c r="AC142" s="207" t="e">
        <f>[1]!'ai[138].vCorrect'</f>
        <v>#REF!</v>
      </c>
      <c r="AD142" s="207">
        <f>[1]!'ai[138].v'</f>
        <v>0</v>
      </c>
      <c r="AE142" s="207" t="e">
        <f>[1]!'ai[138].isCut'</f>
        <v>#REF!</v>
      </c>
      <c r="AF142" s="207" t="e">
        <f>[1]!'ai[138].vCut'</f>
        <v>#REF!</v>
      </c>
      <c r="AG142" s="208"/>
      <c r="AH142" s="207">
        <f>[1]!'ai[138].break.sgn'</f>
        <v>1</v>
      </c>
      <c r="AI142" s="208"/>
      <c r="AJ142" s="207">
        <f>[1]!'ai[138].ZL'</f>
        <v>0</v>
      </c>
      <c r="AK142" s="207">
        <f>[1]!'ai[138].ZH'</f>
        <v>300</v>
      </c>
      <c r="AL142" s="208"/>
      <c r="AM142" s="207">
        <f>[1]!'ai[138].RL.EN'</f>
        <v>1</v>
      </c>
      <c r="AN142" s="207">
        <f>[1]!'ai[138].RL.V'</f>
        <v>125</v>
      </c>
      <c r="AO142" s="207">
        <f>[1]!'ai[138].RL.fix'</f>
        <v>0</v>
      </c>
      <c r="AP142" s="208"/>
      <c r="AQ142" s="207">
        <f>[1]!'ai[138].RH.EN'</f>
        <v>1</v>
      </c>
      <c r="AR142" s="207">
        <f>[1]!'ai[138].RH.V'</f>
        <v>210</v>
      </c>
      <c r="AS142" s="207">
        <f>[1]!'ai[138].RH.fix'</f>
        <v>0</v>
      </c>
      <c r="AT142" s="208"/>
      <c r="AU142" s="207">
        <f>[1]!'ai[138].L.EN'</f>
        <v>0</v>
      </c>
      <c r="AV142" s="207">
        <f>[1]!'ai[138].L.V'</f>
        <v>0</v>
      </c>
      <c r="AW142" s="207">
        <f>[1]!'ai[138].L.fix'</f>
        <v>0</v>
      </c>
      <c r="AX142" s="208"/>
      <c r="AY142" s="207">
        <f>[1]!'ai[138].H.EN'</f>
        <v>0</v>
      </c>
      <c r="AZ142" s="207">
        <f>[1]!'ai[138].H.V'</f>
        <v>0</v>
      </c>
      <c r="BA142" s="207">
        <f>[1]!'ai[138].H.fix'</f>
        <v>0</v>
      </c>
      <c r="BB142" s="208"/>
      <c r="BC142" s="207">
        <f>[1]!'ai[138].LL.EN'</f>
        <v>0</v>
      </c>
      <c r="BD142" s="207">
        <f>[1]!'ai[138].LL.V'</f>
        <v>0</v>
      </c>
      <c r="BE142" s="207">
        <f>[1]!'ai[138].LL.fix'</f>
        <v>0</v>
      </c>
      <c r="BF142" s="208"/>
      <c r="BG142" s="207">
        <f>[1]!'ai[138].HH.EN'</f>
        <v>0</v>
      </c>
      <c r="BH142" s="207">
        <f>[1]!'ai[138].HH.V'</f>
        <v>0</v>
      </c>
      <c r="BI142" s="207">
        <f>[1]!'ai[138].HH.fix'</f>
        <v>0</v>
      </c>
      <c r="BJ142" s="209"/>
      <c r="BK142" s="207">
        <f>[1]!'ai[138].group'</f>
        <v>3</v>
      </c>
      <c r="BL142" s="207">
        <f>[1]!'ai[138].state'</f>
        <v>4</v>
      </c>
      <c r="BM142" s="207">
        <f>[1]!'ai[138].isInvScale'</f>
        <v>0</v>
      </c>
    </row>
    <row r="143" spans="1:65">
      <c r="A143" s="445"/>
      <c r="B143" s="446"/>
      <c r="C143" s="221">
        <v>11</v>
      </c>
      <c r="D143" s="221">
        <v>11</v>
      </c>
      <c r="E143" s="222" t="s">
        <v>388</v>
      </c>
      <c r="F143" s="222" t="s">
        <v>389</v>
      </c>
      <c r="G143" s="207">
        <f>[1]!'ai[139].ZL'</f>
        <v>0</v>
      </c>
      <c r="H143" s="207">
        <f>[1]!'ai[139].ZH'</f>
        <v>100</v>
      </c>
      <c r="I143" s="221" t="s">
        <v>366</v>
      </c>
      <c r="J143" s="207">
        <f>[1]!'ai[139].RL.V'</f>
        <v>0</v>
      </c>
      <c r="K143" s="207">
        <f>[1]!'ai[139].RH.V'</f>
        <v>0</v>
      </c>
      <c r="L143" s="207">
        <f>[1]!'ai[139].L.V'</f>
        <v>0</v>
      </c>
      <c r="M143" s="207">
        <f>[1]!'ai[139].H.V'</f>
        <v>0</v>
      </c>
      <c r="N143" s="207">
        <f>[1]!'ai[139].LL.V'</f>
        <v>0</v>
      </c>
      <c r="O143" s="207">
        <f>[1]!'ai[139].HH.V'</f>
        <v>0</v>
      </c>
      <c r="P143" s="223">
        <v>4</v>
      </c>
      <c r="Q143" s="224">
        <v>3</v>
      </c>
      <c r="R143" s="184"/>
      <c r="T143" s="207">
        <f>[1]!'ai[139].group'</f>
        <v>3</v>
      </c>
      <c r="X143" s="207">
        <f>[1]!'ai[139].EN'</f>
        <v>1</v>
      </c>
      <c r="Y143" s="207">
        <f>[1]!'ai[139].i'</f>
        <v>2.5129319999999998E-3</v>
      </c>
      <c r="Z143" s="207">
        <f>[1]!'ai[139].isForce'</f>
        <v>0</v>
      </c>
      <c r="AA143" s="207" t="e">
        <f>[1]!'ai[139].vRaw'</f>
        <v>#REF!</v>
      </c>
      <c r="AB143" s="207">
        <f>[1]!'ai[139].isCorrect'</f>
        <v>0</v>
      </c>
      <c r="AC143" s="207" t="e">
        <f>[1]!'ai[139].vCorrect'</f>
        <v>#REF!</v>
      </c>
      <c r="AD143" s="207">
        <f>[1]!'ai[139].v'</f>
        <v>0</v>
      </c>
      <c r="AE143" s="207" t="e">
        <f>[1]!'ai[139].isCut'</f>
        <v>#REF!</v>
      </c>
      <c r="AF143" s="207" t="e">
        <f>[1]!'ai[139].vCut'</f>
        <v>#REF!</v>
      </c>
      <c r="AG143" s="208"/>
      <c r="AH143" s="207">
        <f>[1]!'ai[139].break.sgn'</f>
        <v>1</v>
      </c>
      <c r="AI143" s="208"/>
      <c r="AJ143" s="207">
        <f>[1]!'ai[139].ZL'</f>
        <v>0</v>
      </c>
      <c r="AK143" s="207">
        <f>[1]!'ai[139].ZH'</f>
        <v>100</v>
      </c>
      <c r="AL143" s="208"/>
      <c r="AM143" s="207">
        <f>[1]!'ai[139].RL.EN'</f>
        <v>0</v>
      </c>
      <c r="AN143" s="207">
        <f>[1]!'ai[139].RL.V'</f>
        <v>0</v>
      </c>
      <c r="AO143" s="207">
        <f>[1]!'ai[139].RL.fix'</f>
        <v>0</v>
      </c>
      <c r="AP143" s="208"/>
      <c r="AQ143" s="207">
        <f>[1]!'ai[139].RH.EN'</f>
        <v>0</v>
      </c>
      <c r="AR143" s="207">
        <f>[1]!'ai[139].RH.V'</f>
        <v>0</v>
      </c>
      <c r="AS143" s="207">
        <f>[1]!'ai[139].RH.fix'</f>
        <v>0</v>
      </c>
      <c r="AT143" s="208"/>
      <c r="AU143" s="207">
        <f>[1]!'ai[139].L.EN'</f>
        <v>0</v>
      </c>
      <c r="AV143" s="207">
        <f>[1]!'ai[139].L.V'</f>
        <v>0</v>
      </c>
      <c r="AW143" s="207">
        <f>[1]!'ai[139].L.fix'</f>
        <v>0</v>
      </c>
      <c r="AX143" s="208"/>
      <c r="AY143" s="207">
        <f>[1]!'ai[139].H.EN'</f>
        <v>0</v>
      </c>
      <c r="AZ143" s="207">
        <f>[1]!'ai[139].H.V'</f>
        <v>0</v>
      </c>
      <c r="BA143" s="207">
        <f>[1]!'ai[139].H.fix'</f>
        <v>0</v>
      </c>
      <c r="BB143" s="208"/>
      <c r="BC143" s="207">
        <f>[1]!'ai[139].LL.EN'</f>
        <v>0</v>
      </c>
      <c r="BD143" s="207">
        <f>[1]!'ai[139].LL.V'</f>
        <v>0</v>
      </c>
      <c r="BE143" s="207">
        <f>[1]!'ai[139].LL.fix'</f>
        <v>0</v>
      </c>
      <c r="BF143" s="208"/>
      <c r="BG143" s="207">
        <f>[1]!'ai[139].HH.EN'</f>
        <v>0</v>
      </c>
      <c r="BH143" s="207">
        <f>[1]!'ai[139].HH.V'</f>
        <v>0</v>
      </c>
      <c r="BI143" s="207">
        <f>[1]!'ai[139].HH.fix'</f>
        <v>0</v>
      </c>
      <c r="BJ143" s="209"/>
      <c r="BK143" s="207">
        <f>[1]!'ai[139].group'</f>
        <v>3</v>
      </c>
      <c r="BL143" s="207">
        <f>[1]!'ai[139].state'</f>
        <v>4</v>
      </c>
      <c r="BM143" s="207">
        <f>[1]!'ai[139].isInvScale'</f>
        <v>0</v>
      </c>
    </row>
    <row r="144" spans="1:65">
      <c r="A144" s="445"/>
      <c r="B144" s="446"/>
      <c r="C144" s="221">
        <v>12</v>
      </c>
      <c r="D144" s="221">
        <v>12</v>
      </c>
      <c r="E144" s="222" t="s">
        <v>390</v>
      </c>
      <c r="F144" s="222" t="s">
        <v>391</v>
      </c>
      <c r="G144" s="207">
        <f>[1]!'ai[140].ZL'</f>
        <v>0</v>
      </c>
      <c r="H144" s="207">
        <f>[1]!'ai[140].ZH'</f>
        <v>0</v>
      </c>
      <c r="I144" s="221" t="s">
        <v>366</v>
      </c>
      <c r="J144" s="207">
        <f>[1]!'ai[140].RL.V'</f>
        <v>0</v>
      </c>
      <c r="K144" s="207">
        <f>[1]!'ai[140].RH.V'</f>
        <v>0</v>
      </c>
      <c r="L144" s="207">
        <f>[1]!'ai[140].L.V'</f>
        <v>0</v>
      </c>
      <c r="M144" s="207">
        <f>[1]!'ai[140].H.V'</f>
        <v>0</v>
      </c>
      <c r="N144" s="207">
        <f>[1]!'ai[140].LL.V'</f>
        <v>0</v>
      </c>
      <c r="O144" s="207">
        <f>[1]!'ai[140].HH.V'</f>
        <v>0</v>
      </c>
      <c r="P144" s="223">
        <v>4</v>
      </c>
      <c r="Q144" s="224">
        <v>3</v>
      </c>
      <c r="R144" s="184"/>
      <c r="T144" s="207">
        <f>[1]!'ai[140].group'</f>
        <v>0</v>
      </c>
      <c r="X144" s="207">
        <f>[1]!'ai[140].EN'</f>
        <v>0</v>
      </c>
      <c r="Y144" s="207">
        <f>[1]!'ai[140].i'</f>
        <v>0</v>
      </c>
      <c r="Z144" s="207">
        <f>[1]!'ai[140].isForce'</f>
        <v>0</v>
      </c>
      <c r="AA144" s="207" t="e">
        <f>[1]!'ai[140].vRaw'</f>
        <v>#REF!</v>
      </c>
      <c r="AB144" s="207">
        <f>[1]!'ai[140].isCorrect'</f>
        <v>0</v>
      </c>
      <c r="AC144" s="207" t="e">
        <f>[1]!'ai[140].vCorrect'</f>
        <v>#REF!</v>
      </c>
      <c r="AD144" s="207">
        <f>[1]!'ai[140].v'</f>
        <v>0</v>
      </c>
      <c r="AE144" s="207" t="e">
        <f>[1]!'ai[140].isCut'</f>
        <v>#REF!</v>
      </c>
      <c r="AF144" s="207" t="e">
        <f>[1]!'ai[140].vCut'</f>
        <v>#REF!</v>
      </c>
      <c r="AG144" s="208"/>
      <c r="AH144" s="207">
        <f>[1]!'ai[140].break.sgn'</f>
        <v>0</v>
      </c>
      <c r="AI144" s="208"/>
      <c r="AJ144" s="207">
        <f>[1]!'ai[140].ZL'</f>
        <v>0</v>
      </c>
      <c r="AK144" s="207">
        <f>[1]!'ai[140].ZH'</f>
        <v>0</v>
      </c>
      <c r="AL144" s="208"/>
      <c r="AM144" s="207">
        <f>[1]!'ai[140].RL.EN'</f>
        <v>0</v>
      </c>
      <c r="AN144" s="207">
        <f>[1]!'ai[140].RL.V'</f>
        <v>0</v>
      </c>
      <c r="AO144" s="207">
        <f>[1]!'ai[140].RL.fix'</f>
        <v>0</v>
      </c>
      <c r="AP144" s="208"/>
      <c r="AQ144" s="207">
        <f>[1]!'ai[140].RH.EN'</f>
        <v>0</v>
      </c>
      <c r="AR144" s="207">
        <f>[1]!'ai[140].RH.V'</f>
        <v>0</v>
      </c>
      <c r="AS144" s="207">
        <f>[1]!'ai[140].RH.fix'</f>
        <v>0</v>
      </c>
      <c r="AT144" s="208"/>
      <c r="AU144" s="207">
        <f>[1]!'ai[140].L.EN'</f>
        <v>0</v>
      </c>
      <c r="AV144" s="207">
        <f>[1]!'ai[140].L.V'</f>
        <v>0</v>
      </c>
      <c r="AW144" s="207">
        <f>[1]!'ai[140].L.fix'</f>
        <v>0</v>
      </c>
      <c r="AX144" s="208"/>
      <c r="AY144" s="207">
        <f>[1]!'ai[140].H.EN'</f>
        <v>0</v>
      </c>
      <c r="AZ144" s="207">
        <f>[1]!'ai[140].H.V'</f>
        <v>0</v>
      </c>
      <c r="BA144" s="207">
        <f>[1]!'ai[140].H.fix'</f>
        <v>0</v>
      </c>
      <c r="BB144" s="208"/>
      <c r="BC144" s="207">
        <f>[1]!'ai[140].LL.EN'</f>
        <v>0</v>
      </c>
      <c r="BD144" s="207">
        <f>[1]!'ai[140].LL.V'</f>
        <v>0</v>
      </c>
      <c r="BE144" s="207">
        <f>[1]!'ai[140].LL.fix'</f>
        <v>0</v>
      </c>
      <c r="BF144" s="208"/>
      <c r="BG144" s="207">
        <f>[1]!'ai[140].HH.EN'</f>
        <v>0</v>
      </c>
      <c r="BH144" s="207">
        <f>[1]!'ai[140].HH.V'</f>
        <v>0</v>
      </c>
      <c r="BI144" s="207">
        <f>[1]!'ai[140].HH.fix'</f>
        <v>0</v>
      </c>
      <c r="BJ144" s="210"/>
      <c r="BK144" s="207">
        <f>[1]!'ai[140].group'</f>
        <v>0</v>
      </c>
      <c r="BL144" s="207">
        <f>[1]!'ai[140].state'</f>
        <v>4</v>
      </c>
      <c r="BM144" s="207">
        <f>[1]!'ai[140].isInvScale'</f>
        <v>0</v>
      </c>
    </row>
    <row r="145" spans="1:65">
      <c r="A145" s="445"/>
      <c r="B145" s="446"/>
      <c r="C145" s="221">
        <v>13</v>
      </c>
      <c r="D145" s="221">
        <v>13</v>
      </c>
      <c r="E145" s="222" t="s">
        <v>392</v>
      </c>
      <c r="F145" s="222" t="s">
        <v>393</v>
      </c>
      <c r="G145" s="207">
        <f>[1]!'ai[141].ZL'</f>
        <v>0</v>
      </c>
      <c r="H145" s="207">
        <f>[1]!'ai[141].ZH'</f>
        <v>0</v>
      </c>
      <c r="I145" s="221" t="s">
        <v>366</v>
      </c>
      <c r="J145" s="207">
        <f>[1]!'ai[141].RL.V'</f>
        <v>0</v>
      </c>
      <c r="K145" s="207">
        <f>[1]!'ai[141].RH.V'</f>
        <v>0</v>
      </c>
      <c r="L145" s="207">
        <f>[1]!'ai[141].L.V'</f>
        <v>0</v>
      </c>
      <c r="M145" s="207">
        <f>[1]!'ai[141].H.V'</f>
        <v>0</v>
      </c>
      <c r="N145" s="207">
        <f>[1]!'ai[141].LL.V'</f>
        <v>0</v>
      </c>
      <c r="O145" s="207">
        <f>[1]!'ai[141].HH.V'</f>
        <v>0</v>
      </c>
      <c r="P145" s="223">
        <v>4</v>
      </c>
      <c r="Q145" s="224">
        <v>3</v>
      </c>
      <c r="R145" s="184"/>
      <c r="T145" s="207">
        <f>[1]!'ai[141].group'</f>
        <v>0</v>
      </c>
      <c r="X145" s="207">
        <f>[1]!'ai[141].EN'</f>
        <v>0</v>
      </c>
      <c r="Y145" s="207">
        <f>[1]!'ai[141].i'</f>
        <v>0</v>
      </c>
      <c r="Z145" s="207">
        <f>[1]!'ai[141].isForce'</f>
        <v>0</v>
      </c>
      <c r="AA145" s="207" t="e">
        <f>[1]!'ai[141].vRaw'</f>
        <v>#REF!</v>
      </c>
      <c r="AB145" s="207">
        <f>[1]!'ai[141].isCorrect'</f>
        <v>0</v>
      </c>
      <c r="AC145" s="207" t="e">
        <f>[1]!'ai[141].vCorrect'</f>
        <v>#REF!</v>
      </c>
      <c r="AD145" s="207">
        <f>[1]!'ai[141].v'</f>
        <v>0</v>
      </c>
      <c r="AE145" s="207" t="e">
        <f>[1]!'ai[141].isCut'</f>
        <v>#REF!</v>
      </c>
      <c r="AF145" s="207" t="e">
        <f>[1]!'ai[141].vCut'</f>
        <v>#REF!</v>
      </c>
      <c r="AG145" s="208"/>
      <c r="AH145" s="207">
        <f>[1]!'ai[141].break.sgn'</f>
        <v>0</v>
      </c>
      <c r="AI145" s="208"/>
      <c r="AJ145" s="207">
        <f>[1]!'ai[141].ZL'</f>
        <v>0</v>
      </c>
      <c r="AK145" s="207">
        <f>[1]!'ai[141].ZH'</f>
        <v>0</v>
      </c>
      <c r="AL145" s="208"/>
      <c r="AM145" s="207">
        <f>[1]!'ai[141].RL.EN'</f>
        <v>0</v>
      </c>
      <c r="AN145" s="207">
        <f>[1]!'ai[141].RL.V'</f>
        <v>0</v>
      </c>
      <c r="AO145" s="207">
        <f>[1]!'ai[141].RL.fix'</f>
        <v>0</v>
      </c>
      <c r="AP145" s="208"/>
      <c r="AQ145" s="207">
        <f>[1]!'ai[141].RH.EN'</f>
        <v>0</v>
      </c>
      <c r="AR145" s="207">
        <f>[1]!'ai[141].RH.V'</f>
        <v>0</v>
      </c>
      <c r="AS145" s="207">
        <f>[1]!'ai[141].RH.fix'</f>
        <v>0</v>
      </c>
      <c r="AT145" s="208"/>
      <c r="AU145" s="207">
        <f>[1]!'ai[141].L.EN'</f>
        <v>0</v>
      </c>
      <c r="AV145" s="207">
        <f>[1]!'ai[141].L.V'</f>
        <v>0</v>
      </c>
      <c r="AW145" s="207">
        <f>[1]!'ai[141].L.fix'</f>
        <v>0</v>
      </c>
      <c r="AX145" s="208"/>
      <c r="AY145" s="207">
        <f>[1]!'ai[141].H.EN'</f>
        <v>0</v>
      </c>
      <c r="AZ145" s="207">
        <f>[1]!'ai[141].H.V'</f>
        <v>0</v>
      </c>
      <c r="BA145" s="207">
        <f>[1]!'ai[141].H.fix'</f>
        <v>0</v>
      </c>
      <c r="BB145" s="208"/>
      <c r="BC145" s="207">
        <f>[1]!'ai[141].LL.EN'</f>
        <v>0</v>
      </c>
      <c r="BD145" s="207">
        <f>[1]!'ai[141].LL.V'</f>
        <v>0</v>
      </c>
      <c r="BE145" s="207">
        <f>[1]!'ai[141].LL.fix'</f>
        <v>0</v>
      </c>
      <c r="BF145" s="208"/>
      <c r="BG145" s="207">
        <f>[1]!'ai[141].HH.EN'</f>
        <v>0</v>
      </c>
      <c r="BH145" s="207">
        <f>[1]!'ai[141].HH.V'</f>
        <v>0</v>
      </c>
      <c r="BI145" s="207">
        <f>[1]!'ai[141].HH.fix'</f>
        <v>0</v>
      </c>
      <c r="BJ145" s="210"/>
      <c r="BK145" s="207">
        <f>[1]!'ai[141].group'</f>
        <v>0</v>
      </c>
      <c r="BL145" s="207">
        <f>[1]!'ai[141].state'</f>
        <v>4</v>
      </c>
      <c r="BM145" s="207">
        <f>[1]!'ai[141].isInvScale'</f>
        <v>0</v>
      </c>
    </row>
    <row r="146" spans="1:65">
      <c r="A146" s="445"/>
      <c r="B146" s="446"/>
      <c r="C146" s="221">
        <v>14</v>
      </c>
      <c r="D146" s="221">
        <v>14</v>
      </c>
      <c r="E146" s="222" t="s">
        <v>394</v>
      </c>
      <c r="F146" s="222" t="s">
        <v>395</v>
      </c>
      <c r="G146" s="207">
        <f>[1]!'ai[142].ZL'</f>
        <v>0</v>
      </c>
      <c r="H146" s="207">
        <f>[1]!'ai[142].ZH'</f>
        <v>0</v>
      </c>
      <c r="I146" s="221" t="s">
        <v>366</v>
      </c>
      <c r="J146" s="207">
        <f>[1]!'ai[142].RL.V'</f>
        <v>0</v>
      </c>
      <c r="K146" s="207">
        <f>[1]!'ai[142].RH.V'</f>
        <v>0</v>
      </c>
      <c r="L146" s="207">
        <f>[1]!'ai[142].L.V'</f>
        <v>0</v>
      </c>
      <c r="M146" s="207">
        <f>[1]!'ai[142].H.V'</f>
        <v>0</v>
      </c>
      <c r="N146" s="207">
        <f>[1]!'ai[142].LL.V'</f>
        <v>0</v>
      </c>
      <c r="O146" s="207">
        <f>[1]!'ai[142].HH.V'</f>
        <v>0</v>
      </c>
      <c r="P146" s="223">
        <v>4</v>
      </c>
      <c r="Q146" s="224">
        <v>3</v>
      </c>
      <c r="R146" s="184"/>
      <c r="T146" s="207">
        <f>[1]!'ai[142].group'</f>
        <v>0</v>
      </c>
      <c r="X146" s="207">
        <f>[1]!'ai[142].EN'</f>
        <v>0</v>
      </c>
      <c r="Y146" s="207">
        <f>[1]!'ai[142].i'</f>
        <v>0</v>
      </c>
      <c r="Z146" s="207">
        <f>[1]!'ai[142].isForce'</f>
        <v>0</v>
      </c>
      <c r="AA146" s="207" t="e">
        <f>[1]!'ai[142].vRaw'</f>
        <v>#REF!</v>
      </c>
      <c r="AB146" s="207">
        <f>[1]!'ai[142].isCorrect'</f>
        <v>0</v>
      </c>
      <c r="AC146" s="207" t="e">
        <f>[1]!'ai[142].vCorrect'</f>
        <v>#REF!</v>
      </c>
      <c r="AD146" s="207">
        <f>[1]!'ai[142].v'</f>
        <v>0</v>
      </c>
      <c r="AE146" s="207" t="e">
        <f>[1]!'ai[142].isCut'</f>
        <v>#REF!</v>
      </c>
      <c r="AF146" s="207" t="e">
        <f>[1]!'ai[142].vCut'</f>
        <v>#REF!</v>
      </c>
      <c r="AG146" s="208"/>
      <c r="AH146" s="207">
        <f>[1]!'ai[142].break.sgn'</f>
        <v>0</v>
      </c>
      <c r="AI146" s="208"/>
      <c r="AJ146" s="207">
        <f>[1]!'ai[142].ZL'</f>
        <v>0</v>
      </c>
      <c r="AK146" s="207">
        <f>[1]!'ai[142].ZH'</f>
        <v>0</v>
      </c>
      <c r="AL146" s="208"/>
      <c r="AM146" s="207">
        <f>[1]!'ai[142].RL.EN'</f>
        <v>0</v>
      </c>
      <c r="AN146" s="207">
        <f>[1]!'ai[142].RL.V'</f>
        <v>0</v>
      </c>
      <c r="AO146" s="207">
        <f>[1]!'ai[142].RL.fix'</f>
        <v>0</v>
      </c>
      <c r="AP146" s="208"/>
      <c r="AQ146" s="207">
        <f>[1]!'ai[142].RH.EN'</f>
        <v>0</v>
      </c>
      <c r="AR146" s="207">
        <f>[1]!'ai[142].RH.V'</f>
        <v>0</v>
      </c>
      <c r="AS146" s="207">
        <f>[1]!'ai[142].RH.fix'</f>
        <v>0</v>
      </c>
      <c r="AT146" s="208"/>
      <c r="AU146" s="207">
        <f>[1]!'ai[142].L.EN'</f>
        <v>0</v>
      </c>
      <c r="AV146" s="207">
        <f>[1]!'ai[142].L.V'</f>
        <v>0</v>
      </c>
      <c r="AW146" s="207">
        <f>[1]!'ai[142].L.fix'</f>
        <v>0</v>
      </c>
      <c r="AX146" s="208"/>
      <c r="AY146" s="207">
        <f>[1]!'ai[142].H.EN'</f>
        <v>0</v>
      </c>
      <c r="AZ146" s="207">
        <f>[1]!'ai[142].H.V'</f>
        <v>0</v>
      </c>
      <c r="BA146" s="207">
        <f>[1]!'ai[142].H.fix'</f>
        <v>0</v>
      </c>
      <c r="BB146" s="208"/>
      <c r="BC146" s="207">
        <f>[1]!'ai[142].LL.EN'</f>
        <v>0</v>
      </c>
      <c r="BD146" s="207">
        <f>[1]!'ai[142].LL.V'</f>
        <v>0</v>
      </c>
      <c r="BE146" s="207">
        <f>[1]!'ai[142].LL.fix'</f>
        <v>0</v>
      </c>
      <c r="BF146" s="208"/>
      <c r="BG146" s="207">
        <f>[1]!'ai[142].HH.EN'</f>
        <v>0</v>
      </c>
      <c r="BH146" s="207">
        <f>[1]!'ai[142].HH.V'</f>
        <v>0</v>
      </c>
      <c r="BI146" s="207">
        <f>[1]!'ai[142].HH.fix'</f>
        <v>0</v>
      </c>
      <c r="BJ146" s="210"/>
      <c r="BK146" s="207">
        <f>[1]!'ai[142].group'</f>
        <v>0</v>
      </c>
      <c r="BL146" s="207">
        <f>[1]!'ai[142].state'</f>
        <v>4</v>
      </c>
      <c r="BM146" s="207">
        <f>[1]!'ai[142].isInvScale'</f>
        <v>0</v>
      </c>
    </row>
    <row r="147" spans="1:65" ht="15.75" thickBot="1">
      <c r="A147" s="445"/>
      <c r="B147" s="446"/>
      <c r="C147" s="225">
        <v>15</v>
      </c>
      <c r="D147" s="225">
        <v>15</v>
      </c>
      <c r="E147" s="226" t="s">
        <v>396</v>
      </c>
      <c r="F147" s="226" t="s">
        <v>397</v>
      </c>
      <c r="G147" s="207">
        <f>[1]!'ai[143].ZL'</f>
        <v>0</v>
      </c>
      <c r="H147" s="207">
        <f>[1]!'ai[143].ZH'</f>
        <v>0</v>
      </c>
      <c r="I147" s="225" t="s">
        <v>366</v>
      </c>
      <c r="J147" s="207">
        <f>[1]!'ai[143].RL.V'</f>
        <v>0</v>
      </c>
      <c r="K147" s="207">
        <f>[1]!'ai[143].RH.V'</f>
        <v>0</v>
      </c>
      <c r="L147" s="207">
        <f>[1]!'ai[143].L.V'</f>
        <v>0</v>
      </c>
      <c r="M147" s="207">
        <f>[1]!'ai[143].H.V'</f>
        <v>0</v>
      </c>
      <c r="N147" s="207">
        <f>[1]!'ai[143].LL.V'</f>
        <v>0</v>
      </c>
      <c r="O147" s="207">
        <f>[1]!'ai[143].HH.V'</f>
        <v>0</v>
      </c>
      <c r="P147" s="227">
        <v>4</v>
      </c>
      <c r="Q147" s="228">
        <v>3</v>
      </c>
      <c r="R147" s="190"/>
      <c r="T147" s="207">
        <f>[1]!'ai[143].group'</f>
        <v>0</v>
      </c>
      <c r="X147" s="207">
        <f>[1]!'ai[143].EN'</f>
        <v>0</v>
      </c>
      <c r="Y147" s="207">
        <f>[1]!'ai[143].i'</f>
        <v>0</v>
      </c>
      <c r="Z147" s="207">
        <f>[1]!'ai[143].isForce'</f>
        <v>0</v>
      </c>
      <c r="AA147" s="207" t="e">
        <f>[1]!'ai[143].vRaw'</f>
        <v>#REF!</v>
      </c>
      <c r="AB147" s="207">
        <f>[1]!'ai[143].isCorrect'</f>
        <v>0</v>
      </c>
      <c r="AC147" s="207" t="e">
        <f>[1]!'ai[143].vCorrect'</f>
        <v>#REF!</v>
      </c>
      <c r="AD147" s="207">
        <f>[1]!'ai[143].v'</f>
        <v>0</v>
      </c>
      <c r="AE147" s="207" t="e">
        <f>[1]!'ai[143].isCut'</f>
        <v>#REF!</v>
      </c>
      <c r="AF147" s="207" t="e">
        <f>[1]!'ai[143].vCut'</f>
        <v>#REF!</v>
      </c>
      <c r="AG147" s="208"/>
      <c r="AH147" s="207">
        <f>[1]!'ai[143].break.sgn'</f>
        <v>0</v>
      </c>
      <c r="AI147" s="208"/>
      <c r="AJ147" s="207">
        <f>[1]!'ai[143].ZL'</f>
        <v>0</v>
      </c>
      <c r="AK147" s="207">
        <f>[1]!'ai[143].ZH'</f>
        <v>0</v>
      </c>
      <c r="AL147" s="208"/>
      <c r="AM147" s="207">
        <f>[1]!'ai[143].RL.EN'</f>
        <v>0</v>
      </c>
      <c r="AN147" s="207">
        <f>[1]!'ai[143].RL.V'</f>
        <v>0</v>
      </c>
      <c r="AO147" s="207">
        <f>[1]!'ai[143].RL.fix'</f>
        <v>0</v>
      </c>
      <c r="AP147" s="208"/>
      <c r="AQ147" s="207">
        <f>[1]!'ai[143].RH.EN'</f>
        <v>0</v>
      </c>
      <c r="AR147" s="207">
        <f>[1]!'ai[143].RH.V'</f>
        <v>0</v>
      </c>
      <c r="AS147" s="207">
        <f>[1]!'ai[143].RH.fix'</f>
        <v>0</v>
      </c>
      <c r="AT147" s="208"/>
      <c r="AU147" s="207">
        <f>[1]!'ai[143].L.EN'</f>
        <v>0</v>
      </c>
      <c r="AV147" s="207">
        <f>[1]!'ai[143].L.V'</f>
        <v>0</v>
      </c>
      <c r="AW147" s="207">
        <f>[1]!'ai[143].L.fix'</f>
        <v>0</v>
      </c>
      <c r="AX147" s="208"/>
      <c r="AY147" s="207">
        <f>[1]!'ai[143].H.EN'</f>
        <v>0</v>
      </c>
      <c r="AZ147" s="207">
        <f>[1]!'ai[143].H.V'</f>
        <v>0</v>
      </c>
      <c r="BA147" s="207">
        <f>[1]!'ai[143].H.fix'</f>
        <v>0</v>
      </c>
      <c r="BB147" s="208"/>
      <c r="BC147" s="207">
        <f>[1]!'ai[143].LL.EN'</f>
        <v>0</v>
      </c>
      <c r="BD147" s="207">
        <f>[1]!'ai[143].LL.V'</f>
        <v>0</v>
      </c>
      <c r="BE147" s="207">
        <f>[1]!'ai[143].LL.fix'</f>
        <v>0</v>
      </c>
      <c r="BF147" s="208"/>
      <c r="BG147" s="207">
        <f>[1]!'ai[143].HH.EN'</f>
        <v>0</v>
      </c>
      <c r="BH147" s="207">
        <f>[1]!'ai[143].HH.V'</f>
        <v>0</v>
      </c>
      <c r="BI147" s="207">
        <f>[1]!'ai[143].HH.fix'</f>
        <v>0</v>
      </c>
      <c r="BJ147" s="210"/>
      <c r="BK147" s="207">
        <f>[1]!'ai[143].group'</f>
        <v>0</v>
      </c>
      <c r="BL147" s="207">
        <f>[1]!'ai[143].state'</f>
        <v>4</v>
      </c>
      <c r="BM147" s="207">
        <f>[1]!'ai[143].isInvScale'</f>
        <v>0</v>
      </c>
    </row>
    <row r="148" spans="1:65">
      <c r="A148" s="445" t="s">
        <v>36</v>
      </c>
      <c r="B148" s="446">
        <v>3</v>
      </c>
      <c r="C148" s="216">
        <v>0</v>
      </c>
      <c r="D148" s="216">
        <v>0</v>
      </c>
      <c r="E148" s="217" t="s">
        <v>364</v>
      </c>
      <c r="F148" s="217" t="s">
        <v>365</v>
      </c>
      <c r="G148" s="207">
        <f>[1]!'ai[144].ZL'</f>
        <v>0</v>
      </c>
      <c r="H148" s="207">
        <f>[1]!'ai[144].ZH'</f>
        <v>100</v>
      </c>
      <c r="I148" s="216" t="s">
        <v>366</v>
      </c>
      <c r="J148" s="207">
        <f>[1]!'ai[144].RL.V'</f>
        <v>30</v>
      </c>
      <c r="K148" s="207">
        <f>[1]!'ai[144].RH.V'</f>
        <v>50</v>
      </c>
      <c r="L148" s="207">
        <f>[1]!'ai[144].L.V'</f>
        <v>0</v>
      </c>
      <c r="M148" s="207">
        <f>[1]!'ai[144].H.V'</f>
        <v>0</v>
      </c>
      <c r="N148" s="207">
        <f>[1]!'ai[144].LL.V'</f>
        <v>0</v>
      </c>
      <c r="O148" s="207">
        <f>[1]!'ai[144].HH.V'</f>
        <v>0</v>
      </c>
      <c r="P148" s="218">
        <v>1</v>
      </c>
      <c r="Q148" s="219">
        <v>0</v>
      </c>
      <c r="R148" s="220"/>
      <c r="T148" s="207">
        <f>[1]!'ai[144].group'</f>
        <v>4</v>
      </c>
      <c r="X148" s="207">
        <f>[1]!'ai[144].EN'</f>
        <v>1</v>
      </c>
      <c r="Y148" s="207">
        <f>[1]!'ai[144].i'</f>
        <v>3.1404499999999999E-3</v>
      </c>
      <c r="Z148" s="207">
        <f>[1]!'ai[144].isForce'</f>
        <v>0</v>
      </c>
      <c r="AA148" s="207" t="e">
        <f>[1]!'ai[144].vRaw'</f>
        <v>#REF!</v>
      </c>
      <c r="AB148" s="207">
        <f>[1]!'ai[144].isCorrect'</f>
        <v>0</v>
      </c>
      <c r="AC148" s="207" t="e">
        <f>[1]!'ai[144].vCorrect'</f>
        <v>#REF!</v>
      </c>
      <c r="AD148" s="207">
        <f>[1]!'ai[144].v'</f>
        <v>0</v>
      </c>
      <c r="AE148" s="207" t="e">
        <f>[1]!'ai[144].isCut'</f>
        <v>#REF!</v>
      </c>
      <c r="AF148" s="207" t="e">
        <f>[1]!'ai[144].vCut'</f>
        <v>#REF!</v>
      </c>
      <c r="AG148" s="208"/>
      <c r="AH148" s="207">
        <f>[1]!'ai[144].break.sgn'</f>
        <v>1</v>
      </c>
      <c r="AI148" s="208"/>
      <c r="AJ148" s="207">
        <f>[1]!'ai[144].ZL'</f>
        <v>0</v>
      </c>
      <c r="AK148" s="207">
        <f>[1]!'ai[144].ZH'</f>
        <v>100</v>
      </c>
      <c r="AL148" s="208"/>
      <c r="AM148" s="207">
        <f>[1]!'ai[144].RL.EN'</f>
        <v>1</v>
      </c>
      <c r="AN148" s="207">
        <f>[1]!'ai[144].RL.V'</f>
        <v>30</v>
      </c>
      <c r="AO148" s="207">
        <f>[1]!'ai[144].RL.fix'</f>
        <v>0</v>
      </c>
      <c r="AP148" s="208"/>
      <c r="AQ148" s="207">
        <f>[1]!'ai[144].RH.EN'</f>
        <v>1</v>
      </c>
      <c r="AR148" s="207">
        <f>[1]!'ai[144].RH.V'</f>
        <v>50</v>
      </c>
      <c r="AS148" s="207">
        <f>[1]!'ai[144].RH.fix'</f>
        <v>0</v>
      </c>
      <c r="AT148" s="208"/>
      <c r="AU148" s="207">
        <f>[1]!'ai[144].L.EN'</f>
        <v>0</v>
      </c>
      <c r="AV148" s="207">
        <f>[1]!'ai[144].L.V'</f>
        <v>0</v>
      </c>
      <c r="AW148" s="207">
        <f>[1]!'ai[144].L.fix'</f>
        <v>0</v>
      </c>
      <c r="AX148" s="208"/>
      <c r="AY148" s="207">
        <f>[1]!'ai[144].H.EN'</f>
        <v>0</v>
      </c>
      <c r="AZ148" s="207">
        <f>[1]!'ai[144].H.V'</f>
        <v>0</v>
      </c>
      <c r="BA148" s="207">
        <f>[1]!'ai[144].H.fix'</f>
        <v>0</v>
      </c>
      <c r="BB148" s="208"/>
      <c r="BC148" s="207">
        <f>[1]!'ai[144].LL.EN'</f>
        <v>0</v>
      </c>
      <c r="BD148" s="207">
        <f>[1]!'ai[144].LL.V'</f>
        <v>0</v>
      </c>
      <c r="BE148" s="207">
        <f>[1]!'ai[144].LL.fix'</f>
        <v>0</v>
      </c>
      <c r="BF148" s="208"/>
      <c r="BG148" s="207">
        <f>[1]!'ai[144].HH.EN'</f>
        <v>0</v>
      </c>
      <c r="BH148" s="207">
        <f>[1]!'ai[144].HH.V'</f>
        <v>0</v>
      </c>
      <c r="BI148" s="207">
        <f>[1]!'ai[144].HH.fix'</f>
        <v>0</v>
      </c>
      <c r="BJ148" s="210"/>
      <c r="BK148" s="207">
        <f>[1]!'ai[144].group'</f>
        <v>4</v>
      </c>
      <c r="BL148" s="207">
        <f>[1]!'ai[144].state'</f>
        <v>4</v>
      </c>
      <c r="BM148" s="207">
        <f>[1]!'ai[144].isInvScale'</f>
        <v>0</v>
      </c>
    </row>
    <row r="149" spans="1:65">
      <c r="A149" s="445"/>
      <c r="B149" s="446"/>
      <c r="C149" s="221">
        <v>1</v>
      </c>
      <c r="D149" s="221">
        <v>1</v>
      </c>
      <c r="E149" s="222" t="s">
        <v>367</v>
      </c>
      <c r="F149" s="222" t="s">
        <v>368</v>
      </c>
      <c r="G149" s="207">
        <f>[1]!'ai[145].ZL'</f>
        <v>0</v>
      </c>
      <c r="H149" s="207">
        <f>[1]!'ai[145].ZH'</f>
        <v>60</v>
      </c>
      <c r="I149" s="221" t="s">
        <v>366</v>
      </c>
      <c r="J149" s="207">
        <f>[1]!'ai[145].RL.V'</f>
        <v>18</v>
      </c>
      <c r="K149" s="207">
        <f>[1]!'ai[145].RH.V'</f>
        <v>25</v>
      </c>
      <c r="L149" s="207">
        <f>[1]!'ai[145].L.V'</f>
        <v>0</v>
      </c>
      <c r="M149" s="207">
        <f>[1]!'ai[145].H.V'</f>
        <v>0</v>
      </c>
      <c r="N149" s="207">
        <f>[1]!'ai[145].LL.V'</f>
        <v>0</v>
      </c>
      <c r="O149" s="207">
        <f>[1]!'ai[145].HH.V'</f>
        <v>0</v>
      </c>
      <c r="P149" s="223">
        <v>1</v>
      </c>
      <c r="Q149" s="224">
        <v>0</v>
      </c>
      <c r="R149" s="184"/>
      <c r="T149" s="207">
        <f>[1]!'ai[145].group'</f>
        <v>4</v>
      </c>
      <c r="X149" s="207">
        <f>[1]!'ai[145].EN'</f>
        <v>1</v>
      </c>
      <c r="Y149" s="207">
        <f>[1]!'ai[145].i'</f>
        <v>3.1404499999999999E-3</v>
      </c>
      <c r="Z149" s="207">
        <f>[1]!'ai[145].isForce'</f>
        <v>0</v>
      </c>
      <c r="AA149" s="207" t="e">
        <f>[1]!'ai[145].vRaw'</f>
        <v>#REF!</v>
      </c>
      <c r="AB149" s="207">
        <f>[1]!'ai[145].isCorrect'</f>
        <v>0</v>
      </c>
      <c r="AC149" s="207" t="e">
        <f>[1]!'ai[145].vCorrect'</f>
        <v>#REF!</v>
      </c>
      <c r="AD149" s="207">
        <f>[1]!'ai[145].v'</f>
        <v>0</v>
      </c>
      <c r="AE149" s="207" t="e">
        <f>[1]!'ai[145].isCut'</f>
        <v>#REF!</v>
      </c>
      <c r="AF149" s="207" t="e">
        <f>[1]!'ai[145].vCut'</f>
        <v>#REF!</v>
      </c>
      <c r="AG149" s="208"/>
      <c r="AH149" s="207">
        <f>[1]!'ai[145].break.sgn'</f>
        <v>1</v>
      </c>
      <c r="AI149" s="208"/>
      <c r="AJ149" s="207">
        <f>[1]!'ai[145].ZL'</f>
        <v>0</v>
      </c>
      <c r="AK149" s="207">
        <f>[1]!'ai[145].ZH'</f>
        <v>60</v>
      </c>
      <c r="AL149" s="208"/>
      <c r="AM149" s="207">
        <f>[1]!'ai[145].RL.EN'</f>
        <v>1</v>
      </c>
      <c r="AN149" s="207">
        <f>[1]!'ai[145].RL.V'</f>
        <v>18</v>
      </c>
      <c r="AO149" s="207">
        <f>[1]!'ai[145].RL.fix'</f>
        <v>0</v>
      </c>
      <c r="AP149" s="208"/>
      <c r="AQ149" s="207">
        <f>[1]!'ai[145].RH.EN'</f>
        <v>1</v>
      </c>
      <c r="AR149" s="207">
        <f>[1]!'ai[145].RH.V'</f>
        <v>25</v>
      </c>
      <c r="AS149" s="207">
        <f>[1]!'ai[145].RH.fix'</f>
        <v>0</v>
      </c>
      <c r="AT149" s="208"/>
      <c r="AU149" s="207">
        <f>[1]!'ai[145].L.EN'</f>
        <v>0</v>
      </c>
      <c r="AV149" s="207">
        <f>[1]!'ai[145].L.V'</f>
        <v>0</v>
      </c>
      <c r="AW149" s="207">
        <f>[1]!'ai[145].L.fix'</f>
        <v>0</v>
      </c>
      <c r="AX149" s="208"/>
      <c r="AY149" s="207">
        <f>[1]!'ai[145].H.EN'</f>
        <v>0</v>
      </c>
      <c r="AZ149" s="207">
        <f>[1]!'ai[145].H.V'</f>
        <v>0</v>
      </c>
      <c r="BA149" s="207">
        <f>[1]!'ai[145].H.fix'</f>
        <v>0</v>
      </c>
      <c r="BB149" s="208"/>
      <c r="BC149" s="207">
        <f>[1]!'ai[145].LL.EN'</f>
        <v>0</v>
      </c>
      <c r="BD149" s="207">
        <f>[1]!'ai[145].LL.V'</f>
        <v>0</v>
      </c>
      <c r="BE149" s="207">
        <f>[1]!'ai[145].LL.fix'</f>
        <v>0</v>
      </c>
      <c r="BF149" s="208"/>
      <c r="BG149" s="207">
        <f>[1]!'ai[145].HH.EN'</f>
        <v>0</v>
      </c>
      <c r="BH149" s="207">
        <f>[1]!'ai[145].HH.V'</f>
        <v>0</v>
      </c>
      <c r="BI149" s="207">
        <f>[1]!'ai[145].HH.fix'</f>
        <v>0</v>
      </c>
      <c r="BJ149" s="210"/>
      <c r="BK149" s="207">
        <f>[1]!'ai[145].group'</f>
        <v>4</v>
      </c>
      <c r="BL149" s="207">
        <f>[1]!'ai[145].state'</f>
        <v>4</v>
      </c>
      <c r="BM149" s="207">
        <f>[1]!'ai[145].isInvScale'</f>
        <v>0</v>
      </c>
    </row>
    <row r="150" spans="1:65">
      <c r="A150" s="445"/>
      <c r="B150" s="446"/>
      <c r="C150" s="221">
        <v>2</v>
      </c>
      <c r="D150" s="221">
        <v>2</v>
      </c>
      <c r="E150" s="222" t="s">
        <v>369</v>
      </c>
      <c r="F150" s="222" t="s">
        <v>370</v>
      </c>
      <c r="G150" s="207">
        <f>[1]!'ai[146].ZL'</f>
        <v>0</v>
      </c>
      <c r="H150" s="207">
        <f>[1]!'ai[146].ZH'</f>
        <v>400</v>
      </c>
      <c r="I150" s="221" t="s">
        <v>366</v>
      </c>
      <c r="J150" s="207">
        <f>[1]!'ai[146].RL.V'</f>
        <v>30</v>
      </c>
      <c r="K150" s="207">
        <f>[1]!'ai[146].RH.V'</f>
        <v>100</v>
      </c>
      <c r="L150" s="207">
        <f>[1]!'ai[146].L.V'</f>
        <v>0</v>
      </c>
      <c r="M150" s="207">
        <f>[1]!'ai[146].H.V'</f>
        <v>0</v>
      </c>
      <c r="N150" s="207">
        <f>[1]!'ai[146].LL.V'</f>
        <v>0</v>
      </c>
      <c r="O150" s="207">
        <f>[1]!'ai[146].HH.V'</f>
        <v>0</v>
      </c>
      <c r="P150" s="223">
        <v>1</v>
      </c>
      <c r="Q150" s="224">
        <v>0</v>
      </c>
      <c r="R150" s="184"/>
      <c r="T150" s="207">
        <f>[1]!'ai[146].group'</f>
        <v>4</v>
      </c>
      <c r="X150" s="207">
        <f>[1]!'ai[146].EN'</f>
        <v>1</v>
      </c>
      <c r="Y150" s="207">
        <f>[1]!'ai[146].i'</f>
        <v>3.1404499999999999E-3</v>
      </c>
      <c r="Z150" s="207">
        <f>[1]!'ai[146].isForce'</f>
        <v>0</v>
      </c>
      <c r="AA150" s="207" t="e">
        <f>[1]!'ai[146].vRaw'</f>
        <v>#REF!</v>
      </c>
      <c r="AB150" s="207">
        <f>[1]!'ai[146].isCorrect'</f>
        <v>0</v>
      </c>
      <c r="AC150" s="207" t="e">
        <f>[1]!'ai[146].vCorrect'</f>
        <v>#REF!</v>
      </c>
      <c r="AD150" s="207">
        <f>[1]!'ai[146].v'</f>
        <v>0</v>
      </c>
      <c r="AE150" s="207" t="e">
        <f>[1]!'ai[146].isCut'</f>
        <v>#REF!</v>
      </c>
      <c r="AF150" s="207" t="e">
        <f>[1]!'ai[146].vCut'</f>
        <v>#REF!</v>
      </c>
      <c r="AG150" s="208"/>
      <c r="AH150" s="207">
        <f>[1]!'ai[146].break.sgn'</f>
        <v>1</v>
      </c>
      <c r="AI150" s="208"/>
      <c r="AJ150" s="207">
        <f>[1]!'ai[146].ZL'</f>
        <v>0</v>
      </c>
      <c r="AK150" s="207">
        <f>[1]!'ai[146].ZH'</f>
        <v>400</v>
      </c>
      <c r="AL150" s="208"/>
      <c r="AM150" s="207">
        <f>[1]!'ai[146].RL.EN'</f>
        <v>1</v>
      </c>
      <c r="AN150" s="207">
        <f>[1]!'ai[146].RL.V'</f>
        <v>30</v>
      </c>
      <c r="AO150" s="207">
        <f>[1]!'ai[146].RL.fix'</f>
        <v>0</v>
      </c>
      <c r="AP150" s="208"/>
      <c r="AQ150" s="207">
        <f>[1]!'ai[146].RH.EN'</f>
        <v>1</v>
      </c>
      <c r="AR150" s="207">
        <f>[1]!'ai[146].RH.V'</f>
        <v>100</v>
      </c>
      <c r="AS150" s="207">
        <f>[1]!'ai[146].RH.fix'</f>
        <v>0</v>
      </c>
      <c r="AT150" s="208"/>
      <c r="AU150" s="207">
        <f>[1]!'ai[146].L.EN'</f>
        <v>0</v>
      </c>
      <c r="AV150" s="207">
        <f>[1]!'ai[146].L.V'</f>
        <v>0</v>
      </c>
      <c r="AW150" s="207">
        <f>[1]!'ai[146].L.fix'</f>
        <v>0</v>
      </c>
      <c r="AX150" s="208"/>
      <c r="AY150" s="207">
        <f>[1]!'ai[146].H.EN'</f>
        <v>0</v>
      </c>
      <c r="AZ150" s="207">
        <f>[1]!'ai[146].H.V'</f>
        <v>0</v>
      </c>
      <c r="BA150" s="207">
        <f>[1]!'ai[146].H.fix'</f>
        <v>0</v>
      </c>
      <c r="BB150" s="208"/>
      <c r="BC150" s="207">
        <f>[1]!'ai[146].LL.EN'</f>
        <v>0</v>
      </c>
      <c r="BD150" s="207">
        <f>[1]!'ai[146].LL.V'</f>
        <v>0</v>
      </c>
      <c r="BE150" s="207">
        <f>[1]!'ai[146].LL.fix'</f>
        <v>0</v>
      </c>
      <c r="BF150" s="208"/>
      <c r="BG150" s="207">
        <f>[1]!'ai[146].HH.EN'</f>
        <v>0</v>
      </c>
      <c r="BH150" s="207">
        <f>[1]!'ai[146].HH.V'</f>
        <v>0</v>
      </c>
      <c r="BI150" s="207">
        <f>[1]!'ai[146].HH.fix'</f>
        <v>0</v>
      </c>
      <c r="BJ150" s="209"/>
      <c r="BK150" s="207">
        <f>[1]!'ai[146].group'</f>
        <v>4</v>
      </c>
      <c r="BL150" s="207">
        <f>[1]!'ai[146].state'</f>
        <v>4</v>
      </c>
      <c r="BM150" s="207">
        <f>[1]!'ai[146].isInvScale'</f>
        <v>0</v>
      </c>
    </row>
    <row r="151" spans="1:65">
      <c r="A151" s="445"/>
      <c r="B151" s="446"/>
      <c r="C151" s="221">
        <v>3</v>
      </c>
      <c r="D151" s="221">
        <v>3</v>
      </c>
      <c r="E151" s="222" t="s">
        <v>371</v>
      </c>
      <c r="F151" s="222" t="s">
        <v>372</v>
      </c>
      <c r="G151" s="207">
        <f>[1]!'ai[147].ZL'</f>
        <v>0</v>
      </c>
      <c r="H151" s="207">
        <f>[1]!'ai[147].ZH'</f>
        <v>100</v>
      </c>
      <c r="I151" s="221" t="s">
        <v>366</v>
      </c>
      <c r="J151" s="207">
        <f>[1]!'ai[147].RL.V'</f>
        <v>15</v>
      </c>
      <c r="K151" s="207">
        <f>[1]!'ai[147].RH.V'</f>
        <v>40</v>
      </c>
      <c r="L151" s="207">
        <f>[1]!'ai[147].L.V'</f>
        <v>10</v>
      </c>
      <c r="M151" s="207">
        <f>[1]!'ai[147].H.V'</f>
        <v>55</v>
      </c>
      <c r="N151" s="207">
        <f>[1]!'ai[147].LL.V'</f>
        <v>0</v>
      </c>
      <c r="O151" s="207">
        <f>[1]!'ai[147].HH.V'</f>
        <v>0</v>
      </c>
      <c r="P151" s="223">
        <v>1</v>
      </c>
      <c r="Q151" s="224">
        <v>0</v>
      </c>
      <c r="R151" s="184"/>
      <c r="T151" s="207">
        <f>[1]!'ai[147].group'</f>
        <v>4</v>
      </c>
      <c r="X151" s="207">
        <f>[1]!'ai[147].EN'</f>
        <v>1</v>
      </c>
      <c r="Y151" s="207">
        <f>[1]!'ai[147].i'</f>
        <v>4.0100519999999999</v>
      </c>
      <c r="Z151" s="207">
        <f>[1]!'ai[147].isForce'</f>
        <v>0</v>
      </c>
      <c r="AA151" s="207" t="e">
        <f>[1]!'ai[147].vRaw'</f>
        <v>#REF!</v>
      </c>
      <c r="AB151" s="207">
        <f>[1]!'ai[147].isCorrect'</f>
        <v>0</v>
      </c>
      <c r="AC151" s="207" t="e">
        <f>[1]!'ai[147].vCorrect'</f>
        <v>#REF!</v>
      </c>
      <c r="AD151" s="207">
        <f>[1]!'ai[147].v'</f>
        <v>0</v>
      </c>
      <c r="AE151" s="207" t="e">
        <f>[1]!'ai[147].isCut'</f>
        <v>#REF!</v>
      </c>
      <c r="AF151" s="207" t="e">
        <f>[1]!'ai[147].vCut'</f>
        <v>#REF!</v>
      </c>
      <c r="AG151" s="208"/>
      <c r="AH151" s="207">
        <f>[1]!'ai[147].break.sgn'</f>
        <v>0</v>
      </c>
      <c r="AI151" s="208"/>
      <c r="AJ151" s="207">
        <f>[1]!'ai[147].ZL'</f>
        <v>0</v>
      </c>
      <c r="AK151" s="207">
        <f>[1]!'ai[147].ZH'</f>
        <v>100</v>
      </c>
      <c r="AL151" s="208"/>
      <c r="AM151" s="207">
        <f>[1]!'ai[147].RL.EN'</f>
        <v>1</v>
      </c>
      <c r="AN151" s="207">
        <f>[1]!'ai[147].RL.V'</f>
        <v>15</v>
      </c>
      <c r="AO151" s="207">
        <f>[1]!'ai[147].RL.fix'</f>
        <v>1</v>
      </c>
      <c r="AP151" s="208"/>
      <c r="AQ151" s="207">
        <f>[1]!'ai[147].RH.EN'</f>
        <v>1</v>
      </c>
      <c r="AR151" s="207">
        <f>[1]!'ai[147].RH.V'</f>
        <v>40</v>
      </c>
      <c r="AS151" s="207">
        <f>[1]!'ai[147].RH.fix'</f>
        <v>0</v>
      </c>
      <c r="AT151" s="208"/>
      <c r="AU151" s="207">
        <f>[1]!'ai[147].L.EN'</f>
        <v>1</v>
      </c>
      <c r="AV151" s="207">
        <f>[1]!'ai[147].L.V'</f>
        <v>10</v>
      </c>
      <c r="AW151" s="207">
        <f>[1]!'ai[147].L.fix'</f>
        <v>1</v>
      </c>
      <c r="AX151" s="208"/>
      <c r="AY151" s="207">
        <f>[1]!'ai[147].H.EN'</f>
        <v>1</v>
      </c>
      <c r="AZ151" s="207">
        <f>[1]!'ai[147].H.V'</f>
        <v>55</v>
      </c>
      <c r="BA151" s="207">
        <f>[1]!'ai[147].H.fix'</f>
        <v>0</v>
      </c>
      <c r="BB151" s="208"/>
      <c r="BC151" s="207">
        <f>[1]!'ai[147].LL.EN'</f>
        <v>0</v>
      </c>
      <c r="BD151" s="207">
        <f>[1]!'ai[147].LL.V'</f>
        <v>0</v>
      </c>
      <c r="BE151" s="207">
        <f>[1]!'ai[147].LL.fix'</f>
        <v>0</v>
      </c>
      <c r="BF151" s="208"/>
      <c r="BG151" s="207">
        <f>[1]!'ai[147].HH.EN'</f>
        <v>0</v>
      </c>
      <c r="BH151" s="207">
        <f>[1]!'ai[147].HH.V'</f>
        <v>0</v>
      </c>
      <c r="BI151" s="207">
        <f>[1]!'ai[147].HH.fix'</f>
        <v>0</v>
      </c>
      <c r="BJ151" s="209"/>
      <c r="BK151" s="207">
        <f>[1]!'ai[147].group'</f>
        <v>4</v>
      </c>
      <c r="BL151" s="207">
        <f>[1]!'ai[147].state'</f>
        <v>2</v>
      </c>
      <c r="BM151" s="207">
        <f>[1]!'ai[147].isInvScale'</f>
        <v>0</v>
      </c>
    </row>
    <row r="152" spans="1:65">
      <c r="A152" s="445"/>
      <c r="B152" s="446"/>
      <c r="C152" s="221">
        <v>4</v>
      </c>
      <c r="D152" s="221">
        <v>4</v>
      </c>
      <c r="E152" s="222" t="s">
        <v>373</v>
      </c>
      <c r="F152" s="222" t="s">
        <v>374</v>
      </c>
      <c r="G152" s="207">
        <f>[1]!'ai[148].ZL'</f>
        <v>0</v>
      </c>
      <c r="H152" s="207">
        <f>[1]!'ai[148].ZH'</f>
        <v>100</v>
      </c>
      <c r="I152" s="221" t="s">
        <v>366</v>
      </c>
      <c r="J152" s="207">
        <f>[1]!'ai[148].RL.V'</f>
        <v>10</v>
      </c>
      <c r="K152" s="207">
        <f>[1]!'ai[148].RH.V'</f>
        <v>60</v>
      </c>
      <c r="L152" s="207">
        <f>[1]!'ai[148].L.V'</f>
        <v>10</v>
      </c>
      <c r="M152" s="207">
        <f>[1]!'ai[148].H.V'</f>
        <v>60</v>
      </c>
      <c r="N152" s="207">
        <f>[1]!'ai[148].LL.V'</f>
        <v>0</v>
      </c>
      <c r="O152" s="207">
        <f>[1]!'ai[148].HH.V'</f>
        <v>0</v>
      </c>
      <c r="P152" s="223">
        <v>1</v>
      </c>
      <c r="Q152" s="224">
        <v>0</v>
      </c>
      <c r="R152" s="184"/>
      <c r="T152" s="207">
        <f>[1]!'ai[148].group'</f>
        <v>4</v>
      </c>
      <c r="X152" s="207">
        <f>[1]!'ai[148].EN'</f>
        <v>1</v>
      </c>
      <c r="Y152" s="207">
        <f>[1]!'ai[148].i'</f>
        <v>4.0060310000000001</v>
      </c>
      <c r="Z152" s="207">
        <f>[1]!'ai[148].isForce'</f>
        <v>0</v>
      </c>
      <c r="AA152" s="207" t="e">
        <f>[1]!'ai[148].vRaw'</f>
        <v>#REF!</v>
      </c>
      <c r="AB152" s="207">
        <f>[1]!'ai[148].isCorrect'</f>
        <v>0</v>
      </c>
      <c r="AC152" s="207" t="e">
        <f>[1]!'ai[148].vCorrect'</f>
        <v>#REF!</v>
      </c>
      <c r="AD152" s="207">
        <f>[1]!'ai[148].v'</f>
        <v>0</v>
      </c>
      <c r="AE152" s="207" t="e">
        <f>[1]!'ai[148].isCut'</f>
        <v>#REF!</v>
      </c>
      <c r="AF152" s="207" t="e">
        <f>[1]!'ai[148].vCut'</f>
        <v>#REF!</v>
      </c>
      <c r="AG152" s="208"/>
      <c r="AH152" s="207">
        <f>[1]!'ai[148].break.sgn'</f>
        <v>0</v>
      </c>
      <c r="AI152" s="208"/>
      <c r="AJ152" s="207">
        <f>[1]!'ai[148].ZL'</f>
        <v>0</v>
      </c>
      <c r="AK152" s="207">
        <f>[1]!'ai[148].ZH'</f>
        <v>100</v>
      </c>
      <c r="AL152" s="208"/>
      <c r="AM152" s="207">
        <f>[1]!'ai[148].RL.EN'</f>
        <v>1</v>
      </c>
      <c r="AN152" s="207">
        <f>[1]!'ai[148].RL.V'</f>
        <v>10</v>
      </c>
      <c r="AO152" s="207">
        <f>[1]!'ai[148].RL.fix'</f>
        <v>1</v>
      </c>
      <c r="AP152" s="208"/>
      <c r="AQ152" s="207">
        <f>[1]!'ai[148].RH.EN'</f>
        <v>1</v>
      </c>
      <c r="AR152" s="207">
        <f>[1]!'ai[148].RH.V'</f>
        <v>60</v>
      </c>
      <c r="AS152" s="207">
        <f>[1]!'ai[148].RH.fix'</f>
        <v>0</v>
      </c>
      <c r="AT152" s="208"/>
      <c r="AU152" s="207">
        <f>[1]!'ai[148].L.EN'</f>
        <v>1</v>
      </c>
      <c r="AV152" s="207">
        <f>[1]!'ai[148].L.V'</f>
        <v>10</v>
      </c>
      <c r="AW152" s="207">
        <f>[1]!'ai[148].L.fix'</f>
        <v>1</v>
      </c>
      <c r="AX152" s="208"/>
      <c r="AY152" s="207">
        <f>[1]!'ai[148].H.EN'</f>
        <v>1</v>
      </c>
      <c r="AZ152" s="207">
        <f>[1]!'ai[148].H.V'</f>
        <v>60</v>
      </c>
      <c r="BA152" s="207">
        <f>[1]!'ai[148].H.fix'</f>
        <v>0</v>
      </c>
      <c r="BB152" s="208"/>
      <c r="BC152" s="207">
        <f>[1]!'ai[148].LL.EN'</f>
        <v>0</v>
      </c>
      <c r="BD152" s="207">
        <f>[1]!'ai[148].LL.V'</f>
        <v>0</v>
      </c>
      <c r="BE152" s="207">
        <f>[1]!'ai[148].LL.fix'</f>
        <v>0</v>
      </c>
      <c r="BF152" s="208"/>
      <c r="BG152" s="207">
        <f>[1]!'ai[148].HH.EN'</f>
        <v>0</v>
      </c>
      <c r="BH152" s="207">
        <f>[1]!'ai[148].HH.V'</f>
        <v>0</v>
      </c>
      <c r="BI152" s="207">
        <f>[1]!'ai[148].HH.fix'</f>
        <v>0</v>
      </c>
      <c r="BJ152" s="209"/>
      <c r="BK152" s="207">
        <f>[1]!'ai[148].group'</f>
        <v>4</v>
      </c>
      <c r="BL152" s="207">
        <f>[1]!'ai[148].state'</f>
        <v>2</v>
      </c>
      <c r="BM152" s="207">
        <f>[1]!'ai[148].isInvScale'</f>
        <v>0</v>
      </c>
    </row>
    <row r="153" spans="1:65">
      <c r="A153" s="445"/>
      <c r="B153" s="446"/>
      <c r="C153" s="221">
        <v>5</v>
      </c>
      <c r="D153" s="221">
        <v>5</v>
      </c>
      <c r="E153" s="222" t="s">
        <v>375</v>
      </c>
      <c r="F153" s="222" t="s">
        <v>376</v>
      </c>
      <c r="G153" s="207">
        <f>[1]!'ai[149].ZL'</f>
        <v>0</v>
      </c>
      <c r="H153" s="207">
        <f>[1]!'ai[149].ZH'</f>
        <v>75</v>
      </c>
      <c r="I153" s="221" t="s">
        <v>366</v>
      </c>
      <c r="J153" s="207">
        <f>[1]!'ai[149].RL.V'</f>
        <v>27</v>
      </c>
      <c r="K153" s="207">
        <f>[1]!'ai[149].RH.V'</f>
        <v>60</v>
      </c>
      <c r="L153" s="207">
        <f>[1]!'ai[149].L.V'</f>
        <v>0</v>
      </c>
      <c r="M153" s="207">
        <f>[1]!'ai[149].H.V'</f>
        <v>0</v>
      </c>
      <c r="N153" s="207">
        <f>[1]!'ai[149].LL.V'</f>
        <v>0</v>
      </c>
      <c r="O153" s="207">
        <f>[1]!'ai[149].HH.V'</f>
        <v>0</v>
      </c>
      <c r="P153" s="223">
        <v>1</v>
      </c>
      <c r="Q153" s="224">
        <v>0</v>
      </c>
      <c r="R153" s="184"/>
      <c r="T153" s="207">
        <f>[1]!'ai[149].group'</f>
        <v>4</v>
      </c>
      <c r="X153" s="207">
        <f>[1]!'ai[149].EN'</f>
        <v>1</v>
      </c>
      <c r="Y153" s="207">
        <f>[1]!'ai[149].i'</f>
        <v>1.2559890000000001E-3</v>
      </c>
      <c r="Z153" s="207">
        <f>[1]!'ai[149].isForce'</f>
        <v>0</v>
      </c>
      <c r="AA153" s="207" t="e">
        <f>[1]!'ai[149].vRaw'</f>
        <v>#REF!</v>
      </c>
      <c r="AB153" s="207">
        <f>[1]!'ai[149].isCorrect'</f>
        <v>0</v>
      </c>
      <c r="AC153" s="207" t="e">
        <f>[1]!'ai[149].vCorrect'</f>
        <v>#REF!</v>
      </c>
      <c r="AD153" s="207">
        <f>[1]!'ai[149].v'</f>
        <v>0</v>
      </c>
      <c r="AE153" s="207" t="e">
        <f>[1]!'ai[149].isCut'</f>
        <v>#REF!</v>
      </c>
      <c r="AF153" s="207" t="e">
        <f>[1]!'ai[149].vCut'</f>
        <v>#REF!</v>
      </c>
      <c r="AG153" s="208"/>
      <c r="AH153" s="207">
        <f>[1]!'ai[149].break.sgn'</f>
        <v>1</v>
      </c>
      <c r="AI153" s="208"/>
      <c r="AJ153" s="207">
        <f>[1]!'ai[149].ZL'</f>
        <v>0</v>
      </c>
      <c r="AK153" s="207">
        <f>[1]!'ai[149].ZH'</f>
        <v>75</v>
      </c>
      <c r="AL153" s="208"/>
      <c r="AM153" s="207">
        <f>[1]!'ai[149].RL.EN'</f>
        <v>1</v>
      </c>
      <c r="AN153" s="207">
        <f>[1]!'ai[149].RL.V'</f>
        <v>27</v>
      </c>
      <c r="AO153" s="207">
        <f>[1]!'ai[149].RL.fix'</f>
        <v>0</v>
      </c>
      <c r="AP153" s="208"/>
      <c r="AQ153" s="207">
        <f>[1]!'ai[149].RH.EN'</f>
        <v>1</v>
      </c>
      <c r="AR153" s="207">
        <f>[1]!'ai[149].RH.V'</f>
        <v>60</v>
      </c>
      <c r="AS153" s="207">
        <f>[1]!'ai[149].RH.fix'</f>
        <v>0</v>
      </c>
      <c r="AT153" s="208"/>
      <c r="AU153" s="207">
        <f>[1]!'ai[149].L.EN'</f>
        <v>0</v>
      </c>
      <c r="AV153" s="207">
        <f>[1]!'ai[149].L.V'</f>
        <v>0</v>
      </c>
      <c r="AW153" s="207">
        <f>[1]!'ai[149].L.fix'</f>
        <v>0</v>
      </c>
      <c r="AX153" s="208"/>
      <c r="AY153" s="207">
        <f>[1]!'ai[149].H.EN'</f>
        <v>0</v>
      </c>
      <c r="AZ153" s="207">
        <f>[1]!'ai[149].H.V'</f>
        <v>0</v>
      </c>
      <c r="BA153" s="207">
        <f>[1]!'ai[149].H.fix'</f>
        <v>0</v>
      </c>
      <c r="BB153" s="208"/>
      <c r="BC153" s="207">
        <f>[1]!'ai[149].LL.EN'</f>
        <v>0</v>
      </c>
      <c r="BD153" s="207">
        <f>[1]!'ai[149].LL.V'</f>
        <v>0</v>
      </c>
      <c r="BE153" s="207">
        <f>[1]!'ai[149].LL.fix'</f>
        <v>0</v>
      </c>
      <c r="BF153" s="208"/>
      <c r="BG153" s="207">
        <f>[1]!'ai[149].HH.EN'</f>
        <v>0</v>
      </c>
      <c r="BH153" s="207">
        <f>[1]!'ai[149].HH.V'</f>
        <v>0</v>
      </c>
      <c r="BI153" s="207">
        <f>[1]!'ai[149].HH.fix'</f>
        <v>0</v>
      </c>
      <c r="BJ153" s="209"/>
      <c r="BK153" s="207">
        <f>[1]!'ai[149].group'</f>
        <v>4</v>
      </c>
      <c r="BL153" s="207">
        <f>[1]!'ai[149].state'</f>
        <v>4</v>
      </c>
      <c r="BM153" s="207">
        <f>[1]!'ai[149].isInvScale'</f>
        <v>0</v>
      </c>
    </row>
    <row r="154" spans="1:65">
      <c r="A154" s="445"/>
      <c r="B154" s="446"/>
      <c r="C154" s="221">
        <v>6</v>
      </c>
      <c r="D154" s="221">
        <v>6</v>
      </c>
      <c r="E154" s="222" t="s">
        <v>377</v>
      </c>
      <c r="F154" s="222" t="s">
        <v>378</v>
      </c>
      <c r="G154" s="207">
        <f>[1]!'ai[150].ZL'</f>
        <v>0</v>
      </c>
      <c r="H154" s="207">
        <f>[1]!'ai[150].ZH'</f>
        <v>2000</v>
      </c>
      <c r="I154" s="221" t="s">
        <v>366</v>
      </c>
      <c r="J154" s="207">
        <f>[1]!'ai[150].RL.V'</f>
        <v>0</v>
      </c>
      <c r="K154" s="207">
        <f>[1]!'ai[150].RH.V'</f>
        <v>1630</v>
      </c>
      <c r="L154" s="207">
        <f>[1]!'ai[150].L.V'</f>
        <v>0</v>
      </c>
      <c r="M154" s="207">
        <f>[1]!'ai[150].H.V'</f>
        <v>0</v>
      </c>
      <c r="N154" s="207">
        <f>[1]!'ai[150].LL.V'</f>
        <v>0</v>
      </c>
      <c r="O154" s="207">
        <f>[1]!'ai[150].HH.V'</f>
        <v>0</v>
      </c>
      <c r="P154" s="223">
        <v>1</v>
      </c>
      <c r="Q154" s="224">
        <v>0</v>
      </c>
      <c r="R154" s="184"/>
      <c r="T154" s="207">
        <f>[1]!'ai[150].group'</f>
        <v>4</v>
      </c>
      <c r="X154" s="207">
        <f>[1]!'ai[150].EN'</f>
        <v>1</v>
      </c>
      <c r="Y154" s="207">
        <f>[1]!'ai[150].i'</f>
        <v>2.198219E-3</v>
      </c>
      <c r="Z154" s="207">
        <f>[1]!'ai[150].isForce'</f>
        <v>0</v>
      </c>
      <c r="AA154" s="207" t="e">
        <f>[1]!'ai[150].vRaw'</f>
        <v>#REF!</v>
      </c>
      <c r="AB154" s="207">
        <f>[1]!'ai[150].isCorrect'</f>
        <v>0</v>
      </c>
      <c r="AC154" s="207" t="e">
        <f>[1]!'ai[150].vCorrect'</f>
        <v>#REF!</v>
      </c>
      <c r="AD154" s="207">
        <f>[1]!'ai[150].v'</f>
        <v>0</v>
      </c>
      <c r="AE154" s="207" t="e">
        <f>[1]!'ai[150].isCut'</f>
        <v>#REF!</v>
      </c>
      <c r="AF154" s="207" t="e">
        <f>[1]!'ai[150].vCut'</f>
        <v>#REF!</v>
      </c>
      <c r="AG154" s="208"/>
      <c r="AH154" s="207">
        <f>[1]!'ai[150].break.sgn'</f>
        <v>1</v>
      </c>
      <c r="AI154" s="208"/>
      <c r="AJ154" s="207">
        <f>[1]!'ai[150].ZL'</f>
        <v>0</v>
      </c>
      <c r="AK154" s="207">
        <f>[1]!'ai[150].ZH'</f>
        <v>2000</v>
      </c>
      <c r="AL154" s="208"/>
      <c r="AM154" s="207">
        <f>[1]!'ai[150].RL.EN'</f>
        <v>1</v>
      </c>
      <c r="AN154" s="207">
        <f>[1]!'ai[150].RL.V'</f>
        <v>0</v>
      </c>
      <c r="AO154" s="207">
        <f>[1]!'ai[150].RL.fix'</f>
        <v>0</v>
      </c>
      <c r="AP154" s="208"/>
      <c r="AQ154" s="207">
        <f>[1]!'ai[150].RH.EN'</f>
        <v>1</v>
      </c>
      <c r="AR154" s="207">
        <f>[1]!'ai[150].RH.V'</f>
        <v>1630</v>
      </c>
      <c r="AS154" s="207">
        <f>[1]!'ai[150].RH.fix'</f>
        <v>0</v>
      </c>
      <c r="AT154" s="208"/>
      <c r="AU154" s="207">
        <f>[1]!'ai[150].L.EN'</f>
        <v>0</v>
      </c>
      <c r="AV154" s="207">
        <f>[1]!'ai[150].L.V'</f>
        <v>0</v>
      </c>
      <c r="AW154" s="207">
        <f>[1]!'ai[150].L.fix'</f>
        <v>0</v>
      </c>
      <c r="AX154" s="208"/>
      <c r="AY154" s="207">
        <f>[1]!'ai[150].H.EN'</f>
        <v>0</v>
      </c>
      <c r="AZ154" s="207">
        <f>[1]!'ai[150].H.V'</f>
        <v>0</v>
      </c>
      <c r="BA154" s="207">
        <f>[1]!'ai[150].H.fix'</f>
        <v>0</v>
      </c>
      <c r="BB154" s="208"/>
      <c r="BC154" s="207">
        <f>[1]!'ai[150].LL.EN'</f>
        <v>0</v>
      </c>
      <c r="BD154" s="207">
        <f>[1]!'ai[150].LL.V'</f>
        <v>0</v>
      </c>
      <c r="BE154" s="207">
        <f>[1]!'ai[150].LL.fix'</f>
        <v>0</v>
      </c>
      <c r="BF154" s="208"/>
      <c r="BG154" s="207">
        <f>[1]!'ai[150].HH.EN'</f>
        <v>0</v>
      </c>
      <c r="BH154" s="207">
        <f>[1]!'ai[150].HH.V'</f>
        <v>0</v>
      </c>
      <c r="BI154" s="207">
        <f>[1]!'ai[150].HH.fix'</f>
        <v>0</v>
      </c>
      <c r="BJ154" s="210"/>
      <c r="BK154" s="207">
        <f>[1]!'ai[150].group'</f>
        <v>4</v>
      </c>
      <c r="BL154" s="207">
        <f>[1]!'ai[150].state'</f>
        <v>4</v>
      </c>
      <c r="BM154" s="207">
        <f>[1]!'ai[150].isInvScale'</f>
        <v>0</v>
      </c>
    </row>
    <row r="155" spans="1:65">
      <c r="A155" s="445"/>
      <c r="B155" s="446"/>
      <c r="C155" s="221">
        <v>7</v>
      </c>
      <c r="D155" s="221">
        <v>7</v>
      </c>
      <c r="E155" s="222" t="s">
        <v>379</v>
      </c>
      <c r="F155" s="222" t="s">
        <v>380</v>
      </c>
      <c r="G155" s="207">
        <f>[1]!'ai[151].ZL'</f>
        <v>0</v>
      </c>
      <c r="H155" s="207">
        <f>[1]!'ai[151].ZH'</f>
        <v>300</v>
      </c>
      <c r="I155" s="221" t="s">
        <v>366</v>
      </c>
      <c r="J155" s="207">
        <f>[1]!'ai[151].RL.V'</f>
        <v>0</v>
      </c>
      <c r="K155" s="207">
        <f>[1]!'ai[151].RH.V'</f>
        <v>240</v>
      </c>
      <c r="L155" s="207">
        <f>[1]!'ai[151].L.V'</f>
        <v>0</v>
      </c>
      <c r="M155" s="207">
        <f>[1]!'ai[151].H.V'</f>
        <v>170</v>
      </c>
      <c r="N155" s="207">
        <f>[1]!'ai[151].LL.V'</f>
        <v>0</v>
      </c>
      <c r="O155" s="207">
        <f>[1]!'ai[151].HH.V'</f>
        <v>240</v>
      </c>
      <c r="P155" s="223">
        <v>1</v>
      </c>
      <c r="Q155" s="224">
        <v>0</v>
      </c>
      <c r="R155" s="184"/>
      <c r="T155" s="207">
        <f>[1]!'ai[151].group'</f>
        <v>4</v>
      </c>
      <c r="X155" s="207">
        <f>[1]!'ai[151].EN'</f>
        <v>1</v>
      </c>
      <c r="Y155" s="207">
        <f>[1]!'ai[151].i'</f>
        <v>1.8844599999999999E-3</v>
      </c>
      <c r="Z155" s="207">
        <f>[1]!'ai[151].isForce'</f>
        <v>0</v>
      </c>
      <c r="AA155" s="207" t="e">
        <f>[1]!'ai[151].vRaw'</f>
        <v>#REF!</v>
      </c>
      <c r="AB155" s="207">
        <f>[1]!'ai[151].isCorrect'</f>
        <v>0</v>
      </c>
      <c r="AC155" s="207" t="e">
        <f>[1]!'ai[151].vCorrect'</f>
        <v>#REF!</v>
      </c>
      <c r="AD155" s="207">
        <f>[1]!'ai[151].v'</f>
        <v>0</v>
      </c>
      <c r="AE155" s="207" t="e">
        <f>[1]!'ai[151].isCut'</f>
        <v>#REF!</v>
      </c>
      <c r="AF155" s="207" t="e">
        <f>[1]!'ai[151].vCut'</f>
        <v>#REF!</v>
      </c>
      <c r="AG155" s="208"/>
      <c r="AH155" s="207">
        <f>[1]!'ai[151].break.sgn'</f>
        <v>1</v>
      </c>
      <c r="AI155" s="208"/>
      <c r="AJ155" s="207">
        <f>[1]!'ai[151].ZL'</f>
        <v>0</v>
      </c>
      <c r="AK155" s="207">
        <f>[1]!'ai[151].ZH'</f>
        <v>300</v>
      </c>
      <c r="AL155" s="208"/>
      <c r="AM155" s="207">
        <f>[1]!'ai[151].RL.EN'</f>
        <v>1</v>
      </c>
      <c r="AN155" s="207">
        <f>[1]!'ai[151].RL.V'</f>
        <v>0</v>
      </c>
      <c r="AO155" s="207">
        <f>[1]!'ai[151].RL.fix'</f>
        <v>0</v>
      </c>
      <c r="AP155" s="208"/>
      <c r="AQ155" s="207">
        <f>[1]!'ai[151].RH.EN'</f>
        <v>1</v>
      </c>
      <c r="AR155" s="207">
        <f>[1]!'ai[151].RH.V'</f>
        <v>240</v>
      </c>
      <c r="AS155" s="207">
        <f>[1]!'ai[151].RH.fix'</f>
        <v>0</v>
      </c>
      <c r="AT155" s="208"/>
      <c r="AU155" s="207">
        <f>[1]!'ai[151].L.EN'</f>
        <v>0</v>
      </c>
      <c r="AV155" s="207">
        <f>[1]!'ai[151].L.V'</f>
        <v>0</v>
      </c>
      <c r="AW155" s="207">
        <f>[1]!'ai[151].L.fix'</f>
        <v>0</v>
      </c>
      <c r="AX155" s="208"/>
      <c r="AY155" s="207">
        <f>[1]!'ai[151].H.EN'</f>
        <v>1</v>
      </c>
      <c r="AZ155" s="207">
        <f>[1]!'ai[151].H.V'</f>
        <v>170</v>
      </c>
      <c r="BA155" s="207">
        <f>[1]!'ai[151].H.fix'</f>
        <v>0</v>
      </c>
      <c r="BB155" s="208"/>
      <c r="BC155" s="207">
        <f>[1]!'ai[151].LL.EN'</f>
        <v>0</v>
      </c>
      <c r="BD155" s="207">
        <f>[1]!'ai[151].LL.V'</f>
        <v>0</v>
      </c>
      <c r="BE155" s="207">
        <f>[1]!'ai[151].LL.fix'</f>
        <v>0</v>
      </c>
      <c r="BF155" s="208"/>
      <c r="BG155" s="207">
        <f>[1]!'ai[151].HH.EN'</f>
        <v>1</v>
      </c>
      <c r="BH155" s="207">
        <f>[1]!'ai[151].HH.V'</f>
        <v>240</v>
      </c>
      <c r="BI155" s="207">
        <f>[1]!'ai[151].HH.fix'</f>
        <v>0</v>
      </c>
      <c r="BJ155" s="210"/>
      <c r="BK155" s="207">
        <f>[1]!'ai[151].group'</f>
        <v>4</v>
      </c>
      <c r="BL155" s="207">
        <f>[1]!'ai[151].state'</f>
        <v>4</v>
      </c>
      <c r="BM155" s="207">
        <f>[1]!'ai[151].isInvScale'</f>
        <v>0</v>
      </c>
    </row>
    <row r="156" spans="1:65">
      <c r="A156" s="445"/>
      <c r="B156" s="446"/>
      <c r="C156" s="221">
        <v>8</v>
      </c>
      <c r="D156" s="221">
        <v>8</v>
      </c>
      <c r="E156" s="222" t="s">
        <v>381</v>
      </c>
      <c r="F156" s="222" t="s">
        <v>382</v>
      </c>
      <c r="G156" s="207">
        <f>[1]!'ai[152].ZL'</f>
        <v>0</v>
      </c>
      <c r="H156" s="207">
        <f>[1]!'ai[152].ZH'</f>
        <v>300</v>
      </c>
      <c r="I156" s="221" t="s">
        <v>383</v>
      </c>
      <c r="J156" s="207">
        <f>[1]!'ai[152].RL.V'</f>
        <v>130</v>
      </c>
      <c r="K156" s="207">
        <f>[1]!'ai[152].RH.V'</f>
        <v>280</v>
      </c>
      <c r="L156" s="207">
        <f>[1]!'ai[152].L.V'</f>
        <v>0</v>
      </c>
      <c r="M156" s="207">
        <f>[1]!'ai[152].H.V'</f>
        <v>0</v>
      </c>
      <c r="N156" s="207">
        <f>[1]!'ai[152].LL.V'</f>
        <v>0</v>
      </c>
      <c r="O156" s="207">
        <f>[1]!'ai[152].HH.V'</f>
        <v>0</v>
      </c>
      <c r="P156" s="223">
        <v>1</v>
      </c>
      <c r="Q156" s="224"/>
      <c r="R156" s="184"/>
      <c r="T156" s="207">
        <f>[1]!'ai[152].group'</f>
        <v>4</v>
      </c>
      <c r="X156" s="207">
        <f>[1]!'ai[152].EN'</f>
        <v>1</v>
      </c>
      <c r="Y156" s="207">
        <f>[1]!'ai[152].i'</f>
        <v>9.4223020000000002E-4</v>
      </c>
      <c r="Z156" s="207">
        <f>[1]!'ai[152].isForce'</f>
        <v>0</v>
      </c>
      <c r="AA156" s="207" t="e">
        <f>[1]!'ai[152].vRaw'</f>
        <v>#REF!</v>
      </c>
      <c r="AB156" s="207">
        <f>[1]!'ai[152].isCorrect'</f>
        <v>0</v>
      </c>
      <c r="AC156" s="207" t="e">
        <f>[1]!'ai[152].vCorrect'</f>
        <v>#REF!</v>
      </c>
      <c r="AD156" s="207">
        <f>[1]!'ai[152].v'</f>
        <v>0</v>
      </c>
      <c r="AE156" s="207" t="e">
        <f>[1]!'ai[152].isCut'</f>
        <v>#REF!</v>
      </c>
      <c r="AF156" s="207" t="e">
        <f>[1]!'ai[152].vCut'</f>
        <v>#REF!</v>
      </c>
      <c r="AG156" s="208"/>
      <c r="AH156" s="207">
        <f>[1]!'ai[152].break.sgn'</f>
        <v>1</v>
      </c>
      <c r="AI156" s="208"/>
      <c r="AJ156" s="207">
        <f>[1]!'ai[152].ZL'</f>
        <v>0</v>
      </c>
      <c r="AK156" s="207">
        <f>[1]!'ai[152].ZH'</f>
        <v>300</v>
      </c>
      <c r="AL156" s="208"/>
      <c r="AM156" s="207">
        <f>[1]!'ai[152].RL.EN'</f>
        <v>1</v>
      </c>
      <c r="AN156" s="207">
        <f>[1]!'ai[152].RL.V'</f>
        <v>130</v>
      </c>
      <c r="AO156" s="207">
        <f>[1]!'ai[152].RL.fix'</f>
        <v>0</v>
      </c>
      <c r="AP156" s="208"/>
      <c r="AQ156" s="207">
        <f>[1]!'ai[152].RH.EN'</f>
        <v>1</v>
      </c>
      <c r="AR156" s="207">
        <f>[1]!'ai[152].RH.V'</f>
        <v>280</v>
      </c>
      <c r="AS156" s="207">
        <f>[1]!'ai[152].RH.fix'</f>
        <v>0</v>
      </c>
      <c r="AT156" s="208"/>
      <c r="AU156" s="207">
        <f>[1]!'ai[152].L.EN'</f>
        <v>0</v>
      </c>
      <c r="AV156" s="207">
        <f>[1]!'ai[152].L.V'</f>
        <v>0</v>
      </c>
      <c r="AW156" s="207">
        <f>[1]!'ai[152].L.fix'</f>
        <v>0</v>
      </c>
      <c r="AX156" s="208"/>
      <c r="AY156" s="207">
        <f>[1]!'ai[152].H.EN'</f>
        <v>0</v>
      </c>
      <c r="AZ156" s="207">
        <f>[1]!'ai[152].H.V'</f>
        <v>0</v>
      </c>
      <c r="BA156" s="207">
        <f>[1]!'ai[152].H.fix'</f>
        <v>0</v>
      </c>
      <c r="BB156" s="208"/>
      <c r="BC156" s="207">
        <f>[1]!'ai[152].LL.EN'</f>
        <v>0</v>
      </c>
      <c r="BD156" s="207">
        <f>[1]!'ai[152].LL.V'</f>
        <v>0</v>
      </c>
      <c r="BE156" s="207">
        <f>[1]!'ai[152].LL.fix'</f>
        <v>0</v>
      </c>
      <c r="BF156" s="208"/>
      <c r="BG156" s="207">
        <f>[1]!'ai[152].HH.EN'</f>
        <v>0</v>
      </c>
      <c r="BH156" s="207">
        <f>[1]!'ai[152].HH.V'</f>
        <v>0</v>
      </c>
      <c r="BI156" s="207">
        <f>[1]!'ai[152].HH.fix'</f>
        <v>0</v>
      </c>
      <c r="BJ156" s="210"/>
      <c r="BK156" s="207">
        <f>[1]!'ai[152].group'</f>
        <v>4</v>
      </c>
      <c r="BL156" s="207">
        <f>[1]!'ai[152].state'</f>
        <v>4</v>
      </c>
      <c r="BM156" s="207">
        <f>[1]!'ai[152].isInvScale'</f>
        <v>0</v>
      </c>
    </row>
    <row r="157" spans="1:65">
      <c r="A157" s="445"/>
      <c r="B157" s="446"/>
      <c r="C157" s="221">
        <v>9</v>
      </c>
      <c r="D157" s="221">
        <v>9</v>
      </c>
      <c r="E157" s="222" t="s">
        <v>384</v>
      </c>
      <c r="F157" s="222" t="s">
        <v>385</v>
      </c>
      <c r="G157" s="207">
        <f>[1]!'ai[153].ZL'</f>
        <v>0</v>
      </c>
      <c r="H157" s="207">
        <f>[1]!'ai[153].ZH'</f>
        <v>200</v>
      </c>
      <c r="I157" s="221" t="s">
        <v>383</v>
      </c>
      <c r="J157" s="207">
        <f>[1]!'ai[153].RL.V'</f>
        <v>115</v>
      </c>
      <c r="K157" s="207">
        <f>[1]!'ai[153].RH.V'</f>
        <v>155</v>
      </c>
      <c r="L157" s="207">
        <f>[1]!'ai[153].L.V'</f>
        <v>0</v>
      </c>
      <c r="M157" s="207">
        <f>[1]!'ai[153].H.V'</f>
        <v>156</v>
      </c>
      <c r="N157" s="207">
        <f>[1]!'ai[153].LL.V'</f>
        <v>0</v>
      </c>
      <c r="O157" s="207">
        <f>[1]!'ai[153].HH.V'</f>
        <v>0</v>
      </c>
      <c r="P157" s="223">
        <v>1</v>
      </c>
      <c r="Q157" s="224"/>
      <c r="R157" s="184"/>
      <c r="T157" s="207">
        <f>[1]!'ai[153].group'</f>
        <v>4</v>
      </c>
      <c r="X157" s="207">
        <f>[1]!'ai[153].EN'</f>
        <v>1</v>
      </c>
      <c r="Y157" s="207">
        <f>[1]!'ai[153].i'</f>
        <v>6.2847140000000005E-4</v>
      </c>
      <c r="Z157" s="207">
        <f>[1]!'ai[153].isForce'</f>
        <v>0</v>
      </c>
      <c r="AA157" s="207" t="e">
        <f>[1]!'ai[153].vRaw'</f>
        <v>#REF!</v>
      </c>
      <c r="AB157" s="207">
        <f>[1]!'ai[153].isCorrect'</f>
        <v>0</v>
      </c>
      <c r="AC157" s="207" t="e">
        <f>[1]!'ai[153].vCorrect'</f>
        <v>#REF!</v>
      </c>
      <c r="AD157" s="207">
        <f>[1]!'ai[153].v'</f>
        <v>0</v>
      </c>
      <c r="AE157" s="207" t="e">
        <f>[1]!'ai[153].isCut'</f>
        <v>#REF!</v>
      </c>
      <c r="AF157" s="207" t="e">
        <f>[1]!'ai[153].vCut'</f>
        <v>#REF!</v>
      </c>
      <c r="AG157" s="208"/>
      <c r="AH157" s="207">
        <f>[1]!'ai[153].break.sgn'</f>
        <v>1</v>
      </c>
      <c r="AI157" s="208"/>
      <c r="AJ157" s="207">
        <f>[1]!'ai[153].ZL'</f>
        <v>0</v>
      </c>
      <c r="AK157" s="207">
        <f>[1]!'ai[153].ZH'</f>
        <v>200</v>
      </c>
      <c r="AL157" s="208"/>
      <c r="AM157" s="207">
        <f>[1]!'ai[153].RL.EN'</f>
        <v>1</v>
      </c>
      <c r="AN157" s="207">
        <f>[1]!'ai[153].RL.V'</f>
        <v>115</v>
      </c>
      <c r="AO157" s="207">
        <f>[1]!'ai[153].RL.fix'</f>
        <v>0</v>
      </c>
      <c r="AP157" s="208"/>
      <c r="AQ157" s="207">
        <f>[1]!'ai[153].RH.EN'</f>
        <v>1</v>
      </c>
      <c r="AR157" s="207">
        <f>[1]!'ai[153].RH.V'</f>
        <v>155</v>
      </c>
      <c r="AS157" s="207">
        <f>[1]!'ai[153].RH.fix'</f>
        <v>0</v>
      </c>
      <c r="AT157" s="208"/>
      <c r="AU157" s="207">
        <f>[1]!'ai[153].L.EN'</f>
        <v>0</v>
      </c>
      <c r="AV157" s="207">
        <f>[1]!'ai[153].L.V'</f>
        <v>0</v>
      </c>
      <c r="AW157" s="207">
        <f>[1]!'ai[153].L.fix'</f>
        <v>0</v>
      </c>
      <c r="AX157" s="208"/>
      <c r="AY157" s="207">
        <f>[1]!'ai[153].H.EN'</f>
        <v>1</v>
      </c>
      <c r="AZ157" s="207">
        <f>[1]!'ai[153].H.V'</f>
        <v>156</v>
      </c>
      <c r="BA157" s="207">
        <f>[1]!'ai[153].H.fix'</f>
        <v>0</v>
      </c>
      <c r="BB157" s="208"/>
      <c r="BC157" s="207">
        <f>[1]!'ai[153].LL.EN'</f>
        <v>0</v>
      </c>
      <c r="BD157" s="207">
        <f>[1]!'ai[153].LL.V'</f>
        <v>0</v>
      </c>
      <c r="BE157" s="207">
        <f>[1]!'ai[153].LL.fix'</f>
        <v>0</v>
      </c>
      <c r="BF157" s="208"/>
      <c r="BG157" s="207">
        <f>[1]!'ai[153].HH.EN'</f>
        <v>0</v>
      </c>
      <c r="BH157" s="207">
        <f>[1]!'ai[153].HH.V'</f>
        <v>0</v>
      </c>
      <c r="BI157" s="207">
        <f>[1]!'ai[153].HH.fix'</f>
        <v>0</v>
      </c>
      <c r="BJ157" s="210"/>
      <c r="BK157" s="207">
        <f>[1]!'ai[153].group'</f>
        <v>4</v>
      </c>
      <c r="BL157" s="207">
        <f>[1]!'ai[153].state'</f>
        <v>4</v>
      </c>
      <c r="BM157" s="207">
        <f>[1]!'ai[153].isInvScale'</f>
        <v>0</v>
      </c>
    </row>
    <row r="158" spans="1:65">
      <c r="A158" s="445"/>
      <c r="B158" s="446"/>
      <c r="C158" s="221">
        <v>10</v>
      </c>
      <c r="D158" s="221">
        <v>10</v>
      </c>
      <c r="E158" s="222" t="s">
        <v>386</v>
      </c>
      <c r="F158" s="222" t="s">
        <v>387</v>
      </c>
      <c r="G158" s="207">
        <f>[1]!'ai[154].ZL'</f>
        <v>0</v>
      </c>
      <c r="H158" s="207">
        <f>[1]!'ai[154].ZH'</f>
        <v>350</v>
      </c>
      <c r="I158" s="221" t="s">
        <v>366</v>
      </c>
      <c r="J158" s="207">
        <f>[1]!'ai[154].RL.V'</f>
        <v>32</v>
      </c>
      <c r="K158" s="207">
        <f>[1]!'ai[154].RH.V'</f>
        <v>320</v>
      </c>
      <c r="L158" s="207">
        <f>[1]!'ai[154].L.V'</f>
        <v>0</v>
      </c>
      <c r="M158" s="207">
        <f>[1]!'ai[154].H.V'</f>
        <v>0</v>
      </c>
      <c r="N158" s="207">
        <f>[1]!'ai[154].LL.V'</f>
        <v>0</v>
      </c>
      <c r="O158" s="207">
        <f>[1]!'ai[154].HH.V'</f>
        <v>0</v>
      </c>
      <c r="P158" s="223">
        <v>4</v>
      </c>
      <c r="Q158" s="224">
        <v>3</v>
      </c>
      <c r="R158" s="184"/>
      <c r="T158" s="207">
        <f>[1]!'ai[154].group'</f>
        <v>4</v>
      </c>
      <c r="X158" s="207">
        <f>[1]!'ai[154].EN'</f>
        <v>0</v>
      </c>
      <c r="Y158" s="207">
        <f>[1]!'ai[154].i'</f>
        <v>0</v>
      </c>
      <c r="Z158" s="207">
        <f>[1]!'ai[154].isForce'</f>
        <v>0</v>
      </c>
      <c r="AA158" s="207" t="e">
        <f>[1]!'ai[154].vRaw'</f>
        <v>#REF!</v>
      </c>
      <c r="AB158" s="207">
        <f>[1]!'ai[154].isCorrect'</f>
        <v>0</v>
      </c>
      <c r="AC158" s="207" t="e">
        <f>[1]!'ai[154].vCorrect'</f>
        <v>#REF!</v>
      </c>
      <c r="AD158" s="207">
        <f>[1]!'ai[154].v'</f>
        <v>0</v>
      </c>
      <c r="AE158" s="207" t="e">
        <f>[1]!'ai[154].isCut'</f>
        <v>#REF!</v>
      </c>
      <c r="AF158" s="207" t="e">
        <f>[1]!'ai[154].vCut'</f>
        <v>#REF!</v>
      </c>
      <c r="AG158" s="208"/>
      <c r="AH158" s="207">
        <f>[1]!'ai[154].break.sgn'</f>
        <v>0</v>
      </c>
      <c r="AI158" s="208"/>
      <c r="AJ158" s="207">
        <f>[1]!'ai[154].ZL'</f>
        <v>0</v>
      </c>
      <c r="AK158" s="207">
        <f>[1]!'ai[154].ZH'</f>
        <v>350</v>
      </c>
      <c r="AL158" s="208"/>
      <c r="AM158" s="207">
        <f>[1]!'ai[154].RL.EN'</f>
        <v>1</v>
      </c>
      <c r="AN158" s="207">
        <f>[1]!'ai[154].RL.V'</f>
        <v>32</v>
      </c>
      <c r="AO158" s="207">
        <f>[1]!'ai[154].RL.fix'</f>
        <v>0</v>
      </c>
      <c r="AP158" s="208"/>
      <c r="AQ158" s="207">
        <f>[1]!'ai[154].RH.EN'</f>
        <v>1</v>
      </c>
      <c r="AR158" s="207">
        <f>[1]!'ai[154].RH.V'</f>
        <v>320</v>
      </c>
      <c r="AS158" s="207">
        <f>[1]!'ai[154].RH.fix'</f>
        <v>0</v>
      </c>
      <c r="AT158" s="208"/>
      <c r="AU158" s="207">
        <f>[1]!'ai[154].L.EN'</f>
        <v>0</v>
      </c>
      <c r="AV158" s="207">
        <f>[1]!'ai[154].L.V'</f>
        <v>0</v>
      </c>
      <c r="AW158" s="207">
        <f>[1]!'ai[154].L.fix'</f>
        <v>0</v>
      </c>
      <c r="AX158" s="208"/>
      <c r="AY158" s="207">
        <f>[1]!'ai[154].H.EN'</f>
        <v>0</v>
      </c>
      <c r="AZ158" s="207">
        <f>[1]!'ai[154].H.V'</f>
        <v>0</v>
      </c>
      <c r="BA158" s="207">
        <f>[1]!'ai[154].H.fix'</f>
        <v>0</v>
      </c>
      <c r="BB158" s="208"/>
      <c r="BC158" s="207">
        <f>[1]!'ai[154].LL.EN'</f>
        <v>0</v>
      </c>
      <c r="BD158" s="207">
        <f>[1]!'ai[154].LL.V'</f>
        <v>0</v>
      </c>
      <c r="BE158" s="207">
        <f>[1]!'ai[154].LL.fix'</f>
        <v>0</v>
      </c>
      <c r="BF158" s="208"/>
      <c r="BG158" s="207">
        <f>[1]!'ai[154].HH.EN'</f>
        <v>0</v>
      </c>
      <c r="BH158" s="207">
        <f>[1]!'ai[154].HH.V'</f>
        <v>0</v>
      </c>
      <c r="BI158" s="207">
        <f>[1]!'ai[154].HH.fix'</f>
        <v>0</v>
      </c>
      <c r="BJ158" s="210"/>
      <c r="BK158" s="207">
        <f>[1]!'ai[154].group'</f>
        <v>4</v>
      </c>
      <c r="BL158" s="207">
        <f>[1]!'ai[154].state'</f>
        <v>4</v>
      </c>
      <c r="BM158" s="207">
        <f>[1]!'ai[154].isInvScale'</f>
        <v>0</v>
      </c>
    </row>
    <row r="159" spans="1:65">
      <c r="A159" s="445"/>
      <c r="B159" s="446"/>
      <c r="C159" s="221">
        <v>11</v>
      </c>
      <c r="D159" s="221">
        <v>11</v>
      </c>
      <c r="E159" s="222" t="s">
        <v>388</v>
      </c>
      <c r="F159" s="222" t="s">
        <v>389</v>
      </c>
      <c r="G159" s="207">
        <f>[1]!'ai[155].ZL'</f>
        <v>0</v>
      </c>
      <c r="H159" s="207">
        <f>[1]!'ai[155].ZH'</f>
        <v>350</v>
      </c>
      <c r="I159" s="221" t="s">
        <v>366</v>
      </c>
      <c r="J159" s="207">
        <f>[1]!'ai[155].RL.V'</f>
        <v>32</v>
      </c>
      <c r="K159" s="207">
        <f>[1]!'ai[155].RH.V'</f>
        <v>320</v>
      </c>
      <c r="L159" s="207">
        <f>[1]!'ai[155].L.V'</f>
        <v>0</v>
      </c>
      <c r="M159" s="207">
        <f>[1]!'ai[155].H.V'</f>
        <v>0</v>
      </c>
      <c r="N159" s="207">
        <f>[1]!'ai[155].LL.V'</f>
        <v>0</v>
      </c>
      <c r="O159" s="207">
        <f>[1]!'ai[155].HH.V'</f>
        <v>0</v>
      </c>
      <c r="P159" s="223">
        <v>4</v>
      </c>
      <c r="Q159" s="224">
        <v>3</v>
      </c>
      <c r="R159" s="184"/>
      <c r="T159" s="207">
        <f>[1]!'ai[155].group'</f>
        <v>4</v>
      </c>
      <c r="X159" s="207">
        <f>[1]!'ai[155].EN'</f>
        <v>0</v>
      </c>
      <c r="Y159" s="207">
        <f>[1]!'ai[155].i'</f>
        <v>0</v>
      </c>
      <c r="Z159" s="207">
        <f>[1]!'ai[155].isForce'</f>
        <v>0</v>
      </c>
      <c r="AA159" s="207" t="e">
        <f>[1]!'ai[155].vRaw'</f>
        <v>#REF!</v>
      </c>
      <c r="AB159" s="207">
        <f>[1]!'ai[155].isCorrect'</f>
        <v>0</v>
      </c>
      <c r="AC159" s="207" t="e">
        <f>[1]!'ai[155].vCorrect'</f>
        <v>#REF!</v>
      </c>
      <c r="AD159" s="207">
        <f>[1]!'ai[155].v'</f>
        <v>0</v>
      </c>
      <c r="AE159" s="207" t="e">
        <f>[1]!'ai[155].isCut'</f>
        <v>#REF!</v>
      </c>
      <c r="AF159" s="207" t="e">
        <f>[1]!'ai[155].vCut'</f>
        <v>#REF!</v>
      </c>
      <c r="AG159" s="208"/>
      <c r="AH159" s="207">
        <f>[1]!'ai[155].break.sgn'</f>
        <v>0</v>
      </c>
      <c r="AI159" s="208"/>
      <c r="AJ159" s="207">
        <f>[1]!'ai[155].ZL'</f>
        <v>0</v>
      </c>
      <c r="AK159" s="207">
        <f>[1]!'ai[155].ZH'</f>
        <v>350</v>
      </c>
      <c r="AL159" s="208"/>
      <c r="AM159" s="207">
        <f>[1]!'ai[155].RL.EN'</f>
        <v>1</v>
      </c>
      <c r="AN159" s="207">
        <f>[1]!'ai[155].RL.V'</f>
        <v>32</v>
      </c>
      <c r="AO159" s="207">
        <f>[1]!'ai[155].RL.fix'</f>
        <v>0</v>
      </c>
      <c r="AP159" s="208"/>
      <c r="AQ159" s="207">
        <f>[1]!'ai[155].RH.EN'</f>
        <v>1</v>
      </c>
      <c r="AR159" s="207">
        <f>[1]!'ai[155].RH.V'</f>
        <v>320</v>
      </c>
      <c r="AS159" s="207">
        <f>[1]!'ai[155].RH.fix'</f>
        <v>0</v>
      </c>
      <c r="AT159" s="208"/>
      <c r="AU159" s="207">
        <f>[1]!'ai[155].L.EN'</f>
        <v>0</v>
      </c>
      <c r="AV159" s="207">
        <f>[1]!'ai[155].L.V'</f>
        <v>0</v>
      </c>
      <c r="AW159" s="207">
        <f>[1]!'ai[155].L.fix'</f>
        <v>0</v>
      </c>
      <c r="AX159" s="208"/>
      <c r="AY159" s="207">
        <f>[1]!'ai[155].H.EN'</f>
        <v>0</v>
      </c>
      <c r="AZ159" s="207">
        <f>[1]!'ai[155].H.V'</f>
        <v>0</v>
      </c>
      <c r="BA159" s="207">
        <f>[1]!'ai[155].H.fix'</f>
        <v>0</v>
      </c>
      <c r="BB159" s="208"/>
      <c r="BC159" s="207">
        <f>[1]!'ai[155].LL.EN'</f>
        <v>0</v>
      </c>
      <c r="BD159" s="207">
        <f>[1]!'ai[155].LL.V'</f>
        <v>0</v>
      </c>
      <c r="BE159" s="207">
        <f>[1]!'ai[155].LL.fix'</f>
        <v>0</v>
      </c>
      <c r="BF159" s="208"/>
      <c r="BG159" s="207">
        <f>[1]!'ai[155].HH.EN'</f>
        <v>0</v>
      </c>
      <c r="BH159" s="207">
        <f>[1]!'ai[155].HH.V'</f>
        <v>0</v>
      </c>
      <c r="BI159" s="207">
        <f>[1]!'ai[155].HH.fix'</f>
        <v>0</v>
      </c>
      <c r="BJ159" s="210"/>
      <c r="BK159" s="207">
        <f>[1]!'ai[155].group'</f>
        <v>4</v>
      </c>
      <c r="BL159" s="207">
        <f>[1]!'ai[155].state'</f>
        <v>4</v>
      </c>
      <c r="BM159" s="207">
        <f>[1]!'ai[155].isInvScale'</f>
        <v>0</v>
      </c>
    </row>
    <row r="160" spans="1:65">
      <c r="A160" s="445"/>
      <c r="B160" s="446"/>
      <c r="C160" s="221">
        <v>12</v>
      </c>
      <c r="D160" s="221">
        <v>12</v>
      </c>
      <c r="E160" s="222" t="s">
        <v>390</v>
      </c>
      <c r="F160" s="222" t="s">
        <v>391</v>
      </c>
      <c r="G160" s="207">
        <f>[1]!'ai[156].ZL'</f>
        <v>0</v>
      </c>
      <c r="H160" s="207">
        <f>[1]!'ai[156].ZH'</f>
        <v>20</v>
      </c>
      <c r="I160" s="221" t="s">
        <v>366</v>
      </c>
      <c r="J160" s="207">
        <f>[1]!'ai[156].RL.V'</f>
        <v>5</v>
      </c>
      <c r="K160" s="207">
        <f>[1]!'ai[156].RH.V'</f>
        <v>13</v>
      </c>
      <c r="L160" s="207">
        <f>[1]!'ai[156].L.V'</f>
        <v>0</v>
      </c>
      <c r="M160" s="207">
        <f>[1]!'ai[156].H.V'</f>
        <v>13</v>
      </c>
      <c r="N160" s="207">
        <f>[1]!'ai[156].LL.V'</f>
        <v>0</v>
      </c>
      <c r="O160" s="207">
        <f>[1]!'ai[156].HH.V'</f>
        <v>14</v>
      </c>
      <c r="P160" s="223">
        <v>4</v>
      </c>
      <c r="Q160" s="224">
        <v>3</v>
      </c>
      <c r="R160" s="184"/>
      <c r="T160" s="207">
        <f>[1]!'ai[156].group'</f>
        <v>4</v>
      </c>
      <c r="X160" s="207">
        <f>[1]!'ai[156].EN'</f>
        <v>1</v>
      </c>
      <c r="Y160" s="207">
        <f>[1]!'ai[156].i'</f>
        <v>6.2847140000000005E-4</v>
      </c>
      <c r="Z160" s="207">
        <f>[1]!'ai[156].isForce'</f>
        <v>0</v>
      </c>
      <c r="AA160" s="207" t="e">
        <f>[1]!'ai[156].vRaw'</f>
        <v>#REF!</v>
      </c>
      <c r="AB160" s="207">
        <f>[1]!'ai[156].isCorrect'</f>
        <v>0</v>
      </c>
      <c r="AC160" s="207" t="e">
        <f>[1]!'ai[156].vCorrect'</f>
        <v>#REF!</v>
      </c>
      <c r="AD160" s="207">
        <f>[1]!'ai[156].v'</f>
        <v>0</v>
      </c>
      <c r="AE160" s="207" t="e">
        <f>[1]!'ai[156].isCut'</f>
        <v>#REF!</v>
      </c>
      <c r="AF160" s="207" t="e">
        <f>[1]!'ai[156].vCut'</f>
        <v>#REF!</v>
      </c>
      <c r="AG160" s="208"/>
      <c r="AH160" s="207">
        <f>[1]!'ai[156].break.sgn'</f>
        <v>1</v>
      </c>
      <c r="AI160" s="208"/>
      <c r="AJ160" s="207">
        <f>[1]!'ai[156].ZL'</f>
        <v>0</v>
      </c>
      <c r="AK160" s="207">
        <f>[1]!'ai[156].ZH'</f>
        <v>20</v>
      </c>
      <c r="AL160" s="208"/>
      <c r="AM160" s="207">
        <f>[1]!'ai[156].RL.EN'</f>
        <v>1</v>
      </c>
      <c r="AN160" s="207">
        <f>[1]!'ai[156].RL.V'</f>
        <v>5</v>
      </c>
      <c r="AO160" s="207">
        <f>[1]!'ai[156].RL.fix'</f>
        <v>0</v>
      </c>
      <c r="AP160" s="208"/>
      <c r="AQ160" s="207">
        <f>[1]!'ai[156].RH.EN'</f>
        <v>1</v>
      </c>
      <c r="AR160" s="207">
        <f>[1]!'ai[156].RH.V'</f>
        <v>13</v>
      </c>
      <c r="AS160" s="207">
        <f>[1]!'ai[156].RH.fix'</f>
        <v>0</v>
      </c>
      <c r="AT160" s="208"/>
      <c r="AU160" s="207">
        <f>[1]!'ai[156].L.EN'</f>
        <v>0</v>
      </c>
      <c r="AV160" s="207">
        <f>[1]!'ai[156].L.V'</f>
        <v>0</v>
      </c>
      <c r="AW160" s="207">
        <f>[1]!'ai[156].L.fix'</f>
        <v>0</v>
      </c>
      <c r="AX160" s="208"/>
      <c r="AY160" s="207">
        <f>[1]!'ai[156].H.EN'</f>
        <v>1</v>
      </c>
      <c r="AZ160" s="207">
        <f>[1]!'ai[156].H.V'</f>
        <v>13</v>
      </c>
      <c r="BA160" s="207">
        <f>[1]!'ai[156].H.fix'</f>
        <v>0</v>
      </c>
      <c r="BB160" s="208"/>
      <c r="BC160" s="207">
        <f>[1]!'ai[156].LL.EN'</f>
        <v>0</v>
      </c>
      <c r="BD160" s="207">
        <f>[1]!'ai[156].LL.V'</f>
        <v>0</v>
      </c>
      <c r="BE160" s="207">
        <f>[1]!'ai[156].LL.fix'</f>
        <v>0</v>
      </c>
      <c r="BF160" s="208"/>
      <c r="BG160" s="207">
        <f>[1]!'ai[156].HH.EN'</f>
        <v>1</v>
      </c>
      <c r="BH160" s="207">
        <f>[1]!'ai[156].HH.V'</f>
        <v>14</v>
      </c>
      <c r="BI160" s="207">
        <f>[1]!'ai[156].HH.fix'</f>
        <v>0</v>
      </c>
      <c r="BJ160" s="209"/>
      <c r="BK160" s="207">
        <f>[1]!'ai[156].group'</f>
        <v>4</v>
      </c>
      <c r="BL160" s="207">
        <f>[1]!'ai[156].state'</f>
        <v>4</v>
      </c>
      <c r="BM160" s="207">
        <f>[1]!'ai[156].isInvScale'</f>
        <v>0</v>
      </c>
    </row>
    <row r="161" spans="1:65">
      <c r="A161" s="445"/>
      <c r="B161" s="446"/>
      <c r="C161" s="221">
        <v>13</v>
      </c>
      <c r="D161" s="221">
        <v>13</v>
      </c>
      <c r="E161" s="222" t="s">
        <v>392</v>
      </c>
      <c r="F161" s="222" t="s">
        <v>393</v>
      </c>
      <c r="G161" s="207">
        <f>[1]!'ai[157].ZL'</f>
        <v>0</v>
      </c>
      <c r="H161" s="207">
        <f>[1]!'ai[157].ZH'</f>
        <v>2</v>
      </c>
      <c r="I161" s="221" t="s">
        <v>366</v>
      </c>
      <c r="J161" s="207">
        <f>[1]!'ai[157].RL.V'</f>
        <v>0.95</v>
      </c>
      <c r="K161" s="207">
        <f>[1]!'ai[157].RH.V'</f>
        <v>1.05</v>
      </c>
      <c r="L161" s="207">
        <f>[1]!'ai[157].L.V'</f>
        <v>0</v>
      </c>
      <c r="M161" s="207">
        <f>[1]!'ai[157].H.V'</f>
        <v>0</v>
      </c>
      <c r="N161" s="207">
        <f>[1]!'ai[157].LL.V'</f>
        <v>0</v>
      </c>
      <c r="O161" s="207">
        <f>[1]!'ai[157].HH.V'</f>
        <v>0</v>
      </c>
      <c r="P161" s="223">
        <v>4</v>
      </c>
      <c r="Q161" s="224">
        <v>3</v>
      </c>
      <c r="R161" s="184"/>
      <c r="T161" s="207">
        <f>[1]!'ai[157].group'</f>
        <v>4</v>
      </c>
      <c r="X161" s="207">
        <f>[1]!'ai[157].EN'</f>
        <v>1</v>
      </c>
      <c r="Y161" s="207">
        <f>[1]!'ai[157].i'</f>
        <v>6.2847140000000005E-4</v>
      </c>
      <c r="Z161" s="207">
        <f>[1]!'ai[157].isForce'</f>
        <v>0</v>
      </c>
      <c r="AA161" s="207" t="e">
        <f>[1]!'ai[157].vRaw'</f>
        <v>#REF!</v>
      </c>
      <c r="AB161" s="207">
        <f>[1]!'ai[157].isCorrect'</f>
        <v>0</v>
      </c>
      <c r="AC161" s="207" t="e">
        <f>[1]!'ai[157].vCorrect'</f>
        <v>#REF!</v>
      </c>
      <c r="AD161" s="207">
        <f>[1]!'ai[157].v'</f>
        <v>0</v>
      </c>
      <c r="AE161" s="207" t="e">
        <f>[1]!'ai[157].isCut'</f>
        <v>#REF!</v>
      </c>
      <c r="AF161" s="207" t="e">
        <f>[1]!'ai[157].vCut'</f>
        <v>#REF!</v>
      </c>
      <c r="AG161" s="208"/>
      <c r="AH161" s="207">
        <f>[1]!'ai[157].break.sgn'</f>
        <v>1</v>
      </c>
      <c r="AI161" s="208"/>
      <c r="AJ161" s="207">
        <f>[1]!'ai[157].ZL'</f>
        <v>0</v>
      </c>
      <c r="AK161" s="207">
        <f>[1]!'ai[157].ZH'</f>
        <v>2</v>
      </c>
      <c r="AL161" s="208"/>
      <c r="AM161" s="207">
        <f>[1]!'ai[157].RL.EN'</f>
        <v>1</v>
      </c>
      <c r="AN161" s="207">
        <f>[1]!'ai[157].RL.V'</f>
        <v>0.95</v>
      </c>
      <c r="AO161" s="207">
        <f>[1]!'ai[157].RL.fix'</f>
        <v>0</v>
      </c>
      <c r="AP161" s="208"/>
      <c r="AQ161" s="207">
        <f>[1]!'ai[157].RH.EN'</f>
        <v>1</v>
      </c>
      <c r="AR161" s="207">
        <f>[1]!'ai[157].RH.V'</f>
        <v>1.05</v>
      </c>
      <c r="AS161" s="207">
        <f>[1]!'ai[157].RH.fix'</f>
        <v>0</v>
      </c>
      <c r="AT161" s="208"/>
      <c r="AU161" s="207">
        <f>[1]!'ai[157].L.EN'</f>
        <v>0</v>
      </c>
      <c r="AV161" s="207">
        <f>[1]!'ai[157].L.V'</f>
        <v>0</v>
      </c>
      <c r="AW161" s="207">
        <f>[1]!'ai[157].L.fix'</f>
        <v>0</v>
      </c>
      <c r="AX161" s="208"/>
      <c r="AY161" s="207">
        <f>[1]!'ai[157].H.EN'</f>
        <v>0</v>
      </c>
      <c r="AZ161" s="207">
        <f>[1]!'ai[157].H.V'</f>
        <v>0</v>
      </c>
      <c r="BA161" s="207">
        <f>[1]!'ai[157].H.fix'</f>
        <v>0</v>
      </c>
      <c r="BB161" s="208"/>
      <c r="BC161" s="207">
        <f>[1]!'ai[157].LL.EN'</f>
        <v>0</v>
      </c>
      <c r="BD161" s="207">
        <f>[1]!'ai[157].LL.V'</f>
        <v>0</v>
      </c>
      <c r="BE161" s="207">
        <f>[1]!'ai[157].LL.fix'</f>
        <v>0</v>
      </c>
      <c r="BF161" s="208"/>
      <c r="BG161" s="207">
        <f>[1]!'ai[157].HH.EN'</f>
        <v>0</v>
      </c>
      <c r="BH161" s="207">
        <f>[1]!'ai[157].HH.V'</f>
        <v>0</v>
      </c>
      <c r="BI161" s="207">
        <f>[1]!'ai[157].HH.fix'</f>
        <v>0</v>
      </c>
      <c r="BJ161" s="209"/>
      <c r="BK161" s="207">
        <f>[1]!'ai[157].group'</f>
        <v>4</v>
      </c>
      <c r="BL161" s="207">
        <f>[1]!'ai[157].state'</f>
        <v>4</v>
      </c>
      <c r="BM161" s="207">
        <f>[1]!'ai[157].isInvScale'</f>
        <v>0</v>
      </c>
    </row>
    <row r="162" spans="1:65">
      <c r="A162" s="445"/>
      <c r="B162" s="446"/>
      <c r="C162" s="221">
        <v>14</v>
      </c>
      <c r="D162" s="221">
        <v>14</v>
      </c>
      <c r="E162" s="222" t="s">
        <v>394</v>
      </c>
      <c r="F162" s="222" t="s">
        <v>395</v>
      </c>
      <c r="G162" s="207">
        <f>[1]!'ai[158].ZL'</f>
        <v>0</v>
      </c>
      <c r="H162" s="207">
        <f>[1]!'ai[158].ZH'</f>
        <v>0</v>
      </c>
      <c r="I162" s="221" t="s">
        <v>366</v>
      </c>
      <c r="J162" s="207">
        <f>[1]!'ai[158].RL.V'</f>
        <v>0</v>
      </c>
      <c r="K162" s="207">
        <f>[1]!'ai[158].RH.V'</f>
        <v>0</v>
      </c>
      <c r="L162" s="207">
        <f>[1]!'ai[158].L.V'</f>
        <v>0</v>
      </c>
      <c r="M162" s="207">
        <f>[1]!'ai[158].H.V'</f>
        <v>0</v>
      </c>
      <c r="N162" s="207">
        <f>[1]!'ai[158].LL.V'</f>
        <v>0</v>
      </c>
      <c r="O162" s="207">
        <f>[1]!'ai[158].HH.V'</f>
        <v>0</v>
      </c>
      <c r="P162" s="223">
        <v>4</v>
      </c>
      <c r="Q162" s="224">
        <v>3</v>
      </c>
      <c r="R162" s="184"/>
      <c r="T162" s="207">
        <f>[1]!'ai[158].group'</f>
        <v>0</v>
      </c>
      <c r="X162" s="207">
        <f>[1]!'ai[158].EN'</f>
        <v>0</v>
      </c>
      <c r="Y162" s="207">
        <f>[1]!'ai[158].i'</f>
        <v>0</v>
      </c>
      <c r="Z162" s="207">
        <f>[1]!'ai[158].isForce'</f>
        <v>0</v>
      </c>
      <c r="AA162" s="207" t="e">
        <f>[1]!'ai[158].vRaw'</f>
        <v>#REF!</v>
      </c>
      <c r="AB162" s="207">
        <f>[1]!'ai[158].isCorrect'</f>
        <v>0</v>
      </c>
      <c r="AC162" s="207" t="e">
        <f>[1]!'ai[158].vCorrect'</f>
        <v>#REF!</v>
      </c>
      <c r="AD162" s="207">
        <f>[1]!'ai[158].v'</f>
        <v>0</v>
      </c>
      <c r="AE162" s="207" t="e">
        <f>[1]!'ai[158].isCut'</f>
        <v>#REF!</v>
      </c>
      <c r="AF162" s="207" t="e">
        <f>[1]!'ai[158].vCut'</f>
        <v>#REF!</v>
      </c>
      <c r="AG162" s="208"/>
      <c r="AH162" s="207">
        <f>[1]!'ai[158].break.sgn'</f>
        <v>0</v>
      </c>
      <c r="AI162" s="208"/>
      <c r="AJ162" s="207">
        <f>[1]!'ai[158].ZL'</f>
        <v>0</v>
      </c>
      <c r="AK162" s="207">
        <f>[1]!'ai[158].ZH'</f>
        <v>0</v>
      </c>
      <c r="AL162" s="208"/>
      <c r="AM162" s="207">
        <f>[1]!'ai[158].RL.EN'</f>
        <v>0</v>
      </c>
      <c r="AN162" s="207">
        <f>[1]!'ai[158].RL.V'</f>
        <v>0</v>
      </c>
      <c r="AO162" s="207">
        <f>[1]!'ai[158].RL.fix'</f>
        <v>0</v>
      </c>
      <c r="AP162" s="208"/>
      <c r="AQ162" s="207">
        <f>[1]!'ai[158].RH.EN'</f>
        <v>0</v>
      </c>
      <c r="AR162" s="207">
        <f>[1]!'ai[158].RH.V'</f>
        <v>0</v>
      </c>
      <c r="AS162" s="207">
        <f>[1]!'ai[158].RH.fix'</f>
        <v>0</v>
      </c>
      <c r="AT162" s="208"/>
      <c r="AU162" s="207">
        <f>[1]!'ai[158].L.EN'</f>
        <v>0</v>
      </c>
      <c r="AV162" s="207">
        <f>[1]!'ai[158].L.V'</f>
        <v>0</v>
      </c>
      <c r="AW162" s="207">
        <f>[1]!'ai[158].L.fix'</f>
        <v>0</v>
      </c>
      <c r="AX162" s="208"/>
      <c r="AY162" s="207">
        <f>[1]!'ai[158].H.EN'</f>
        <v>0</v>
      </c>
      <c r="AZ162" s="207">
        <f>[1]!'ai[158].H.V'</f>
        <v>0</v>
      </c>
      <c r="BA162" s="207">
        <f>[1]!'ai[158].H.fix'</f>
        <v>0</v>
      </c>
      <c r="BB162" s="208"/>
      <c r="BC162" s="207">
        <f>[1]!'ai[158].LL.EN'</f>
        <v>0</v>
      </c>
      <c r="BD162" s="207">
        <f>[1]!'ai[158].LL.V'</f>
        <v>0</v>
      </c>
      <c r="BE162" s="207">
        <f>[1]!'ai[158].LL.fix'</f>
        <v>0</v>
      </c>
      <c r="BF162" s="208"/>
      <c r="BG162" s="207">
        <f>[1]!'ai[158].HH.EN'</f>
        <v>0</v>
      </c>
      <c r="BH162" s="207">
        <f>[1]!'ai[158].HH.V'</f>
        <v>0</v>
      </c>
      <c r="BI162" s="207">
        <f>[1]!'ai[158].HH.fix'</f>
        <v>0</v>
      </c>
      <c r="BJ162" s="209"/>
      <c r="BK162" s="207">
        <f>[1]!'ai[158].group'</f>
        <v>0</v>
      </c>
      <c r="BL162" s="207">
        <f>[1]!'ai[158].state'</f>
        <v>4</v>
      </c>
      <c r="BM162" s="207">
        <f>[1]!'ai[158].isInvScale'</f>
        <v>0</v>
      </c>
    </row>
    <row r="163" spans="1:65" ht="15.75" thickBot="1">
      <c r="A163" s="445"/>
      <c r="B163" s="446"/>
      <c r="C163" s="225">
        <v>15</v>
      </c>
      <c r="D163" s="225">
        <v>15</v>
      </c>
      <c r="E163" s="226" t="s">
        <v>396</v>
      </c>
      <c r="F163" s="226" t="s">
        <v>397</v>
      </c>
      <c r="G163" s="207">
        <f>[1]!'ai[159].ZL'</f>
        <v>0</v>
      </c>
      <c r="H163" s="207">
        <f>[1]!'ai[159].ZH'</f>
        <v>0</v>
      </c>
      <c r="I163" s="225" t="s">
        <v>366</v>
      </c>
      <c r="J163" s="207">
        <f>[1]!'ai[159].RL.V'</f>
        <v>0</v>
      </c>
      <c r="K163" s="207">
        <f>[1]!'ai[159].RH.V'</f>
        <v>0</v>
      </c>
      <c r="L163" s="207">
        <f>[1]!'ai[159].L.V'</f>
        <v>0</v>
      </c>
      <c r="M163" s="207">
        <f>[1]!'ai[159].H.V'</f>
        <v>0</v>
      </c>
      <c r="N163" s="207">
        <f>[1]!'ai[159].LL.V'</f>
        <v>0</v>
      </c>
      <c r="O163" s="207">
        <f>[1]!'ai[159].HH.V'</f>
        <v>0</v>
      </c>
      <c r="P163" s="227">
        <v>4</v>
      </c>
      <c r="Q163" s="228">
        <v>3</v>
      </c>
      <c r="R163" s="190"/>
      <c r="T163" s="207">
        <f>[1]!'ai[159].group'</f>
        <v>0</v>
      </c>
      <c r="X163" s="207">
        <f>[1]!'ai[159].EN'</f>
        <v>0</v>
      </c>
      <c r="Y163" s="207">
        <f>[1]!'ai[159].i'</f>
        <v>0</v>
      </c>
      <c r="Z163" s="207">
        <f>[1]!'ai[159].isForce'</f>
        <v>0</v>
      </c>
      <c r="AA163" s="207" t="e">
        <f>[1]!'ai[159].vRaw'</f>
        <v>#REF!</v>
      </c>
      <c r="AB163" s="207">
        <f>[1]!'ai[159].isCorrect'</f>
        <v>0</v>
      </c>
      <c r="AC163" s="207" t="e">
        <f>[1]!'ai[159].vCorrect'</f>
        <v>#REF!</v>
      </c>
      <c r="AD163" s="207">
        <f>[1]!'ai[159].v'</f>
        <v>0</v>
      </c>
      <c r="AE163" s="207" t="e">
        <f>[1]!'ai[159].isCut'</f>
        <v>#REF!</v>
      </c>
      <c r="AF163" s="207" t="e">
        <f>[1]!'ai[159].vCut'</f>
        <v>#REF!</v>
      </c>
      <c r="AG163" s="208"/>
      <c r="AH163" s="207">
        <f>[1]!'ai[159].break.sgn'</f>
        <v>0</v>
      </c>
      <c r="AI163" s="208"/>
      <c r="AJ163" s="207">
        <f>[1]!'ai[159].ZL'</f>
        <v>0</v>
      </c>
      <c r="AK163" s="207">
        <f>[1]!'ai[159].ZH'</f>
        <v>0</v>
      </c>
      <c r="AL163" s="208"/>
      <c r="AM163" s="207">
        <f>[1]!'ai[159].RL.EN'</f>
        <v>0</v>
      </c>
      <c r="AN163" s="207">
        <f>[1]!'ai[159].RL.V'</f>
        <v>0</v>
      </c>
      <c r="AO163" s="207">
        <f>[1]!'ai[159].RL.fix'</f>
        <v>0</v>
      </c>
      <c r="AP163" s="208"/>
      <c r="AQ163" s="207">
        <f>[1]!'ai[159].RH.EN'</f>
        <v>0</v>
      </c>
      <c r="AR163" s="207">
        <f>[1]!'ai[159].RH.V'</f>
        <v>0</v>
      </c>
      <c r="AS163" s="207">
        <f>[1]!'ai[159].RH.fix'</f>
        <v>0</v>
      </c>
      <c r="AT163" s="208"/>
      <c r="AU163" s="207">
        <f>[1]!'ai[159].L.EN'</f>
        <v>0</v>
      </c>
      <c r="AV163" s="207">
        <f>[1]!'ai[159].L.V'</f>
        <v>0</v>
      </c>
      <c r="AW163" s="207">
        <f>[1]!'ai[159].L.fix'</f>
        <v>0</v>
      </c>
      <c r="AX163" s="208"/>
      <c r="AY163" s="207">
        <f>[1]!'ai[159].H.EN'</f>
        <v>0</v>
      </c>
      <c r="AZ163" s="207">
        <f>[1]!'ai[159].H.V'</f>
        <v>0</v>
      </c>
      <c r="BA163" s="207">
        <f>[1]!'ai[159].H.fix'</f>
        <v>0</v>
      </c>
      <c r="BB163" s="208"/>
      <c r="BC163" s="207">
        <f>[1]!'ai[159].LL.EN'</f>
        <v>0</v>
      </c>
      <c r="BD163" s="207">
        <f>[1]!'ai[159].LL.V'</f>
        <v>0</v>
      </c>
      <c r="BE163" s="207">
        <f>[1]!'ai[159].LL.fix'</f>
        <v>0</v>
      </c>
      <c r="BF163" s="208"/>
      <c r="BG163" s="207">
        <f>[1]!'ai[159].HH.EN'</f>
        <v>0</v>
      </c>
      <c r="BH163" s="207">
        <f>[1]!'ai[159].HH.V'</f>
        <v>0</v>
      </c>
      <c r="BI163" s="207">
        <f>[1]!'ai[159].HH.fix'</f>
        <v>0</v>
      </c>
      <c r="BJ163" s="209"/>
      <c r="BK163" s="207">
        <f>[1]!'ai[159].group'</f>
        <v>0</v>
      </c>
      <c r="BL163" s="207">
        <f>[1]!'ai[159].state'</f>
        <v>4</v>
      </c>
      <c r="BM163" s="207">
        <f>[1]!'ai[159].isInvScale'</f>
        <v>0</v>
      </c>
    </row>
    <row r="164" spans="1:65">
      <c r="A164" s="445" t="s">
        <v>36</v>
      </c>
      <c r="B164" s="446">
        <v>3</v>
      </c>
      <c r="C164" s="216">
        <v>0</v>
      </c>
      <c r="D164" s="216">
        <v>0</v>
      </c>
      <c r="E164" s="217" t="s">
        <v>364</v>
      </c>
      <c r="F164" s="217" t="s">
        <v>365</v>
      </c>
      <c r="G164" s="207">
        <f>[1]!'ai[160].ZL'</f>
        <v>-50</v>
      </c>
      <c r="H164" s="207">
        <f>[1]!'ai[160].ZH'</f>
        <v>50</v>
      </c>
      <c r="I164" s="216" t="s">
        <v>366</v>
      </c>
      <c r="J164" s="207">
        <f>[1]!'ai[160].RL.V'</f>
        <v>5</v>
      </c>
      <c r="K164" s="207">
        <f>[1]!'ai[160].RH.V'</f>
        <v>40</v>
      </c>
      <c r="L164" s="207">
        <f>[1]!'ai[160].L.V'</f>
        <v>0</v>
      </c>
      <c r="M164" s="207">
        <f>[1]!'ai[160].H.V'</f>
        <v>0</v>
      </c>
      <c r="N164" s="207">
        <f>[1]!'ai[160].LL.V'</f>
        <v>0</v>
      </c>
      <c r="O164" s="207">
        <f>[1]!'ai[160].HH.V'</f>
        <v>0</v>
      </c>
      <c r="P164" s="218">
        <v>1</v>
      </c>
      <c r="Q164" s="219">
        <v>0</v>
      </c>
      <c r="R164" s="220"/>
      <c r="T164" s="207">
        <f>[1]!'ai[160].group'</f>
        <v>4</v>
      </c>
      <c r="X164" s="207">
        <f>[1]!'ai[160].EN'</f>
        <v>1</v>
      </c>
      <c r="Y164" s="207">
        <f>[1]!'ai[160].i'</f>
        <v>4.7111510000000002E-3</v>
      </c>
      <c r="Z164" s="207">
        <f>[1]!'ai[160].isForce'</f>
        <v>0</v>
      </c>
      <c r="AA164" s="207" t="e">
        <f>[1]!'ai[160].vRaw'</f>
        <v>#REF!</v>
      </c>
      <c r="AB164" s="207">
        <f>[1]!'ai[160].isCorrect'</f>
        <v>0</v>
      </c>
      <c r="AC164" s="207" t="e">
        <f>[1]!'ai[160].vCorrect'</f>
        <v>#REF!</v>
      </c>
      <c r="AD164" s="207">
        <f>[1]!'ai[160].v'</f>
        <v>0</v>
      </c>
      <c r="AE164" s="207" t="e">
        <f>[1]!'ai[160].isCut'</f>
        <v>#REF!</v>
      </c>
      <c r="AF164" s="207" t="e">
        <f>[1]!'ai[160].vCut'</f>
        <v>#REF!</v>
      </c>
      <c r="AG164" s="208"/>
      <c r="AH164" s="207">
        <f>[1]!'ai[160].break.sgn'</f>
        <v>1</v>
      </c>
      <c r="AI164" s="208"/>
      <c r="AJ164" s="207">
        <f>[1]!'ai[160].ZL'</f>
        <v>-50</v>
      </c>
      <c r="AK164" s="207">
        <f>[1]!'ai[160].ZH'</f>
        <v>50</v>
      </c>
      <c r="AL164" s="208"/>
      <c r="AM164" s="207">
        <f>[1]!'ai[160].RL.EN'</f>
        <v>1</v>
      </c>
      <c r="AN164" s="207">
        <f>[1]!'ai[160].RL.V'</f>
        <v>5</v>
      </c>
      <c r="AO164" s="207">
        <f>[1]!'ai[160].RL.fix'</f>
        <v>0</v>
      </c>
      <c r="AP164" s="208"/>
      <c r="AQ164" s="207">
        <f>[1]!'ai[160].RH.EN'</f>
        <v>1</v>
      </c>
      <c r="AR164" s="207">
        <f>[1]!'ai[160].RH.V'</f>
        <v>40</v>
      </c>
      <c r="AS164" s="207">
        <f>[1]!'ai[160].RH.fix'</f>
        <v>0</v>
      </c>
      <c r="AT164" s="208"/>
      <c r="AU164" s="207">
        <f>[1]!'ai[160].L.EN'</f>
        <v>0</v>
      </c>
      <c r="AV164" s="207">
        <f>[1]!'ai[160].L.V'</f>
        <v>0</v>
      </c>
      <c r="AW164" s="207">
        <f>[1]!'ai[160].L.fix'</f>
        <v>0</v>
      </c>
      <c r="AX164" s="208"/>
      <c r="AY164" s="207">
        <f>[1]!'ai[160].H.EN'</f>
        <v>0</v>
      </c>
      <c r="AZ164" s="207">
        <f>[1]!'ai[160].H.V'</f>
        <v>0</v>
      </c>
      <c r="BA164" s="207">
        <f>[1]!'ai[160].H.fix'</f>
        <v>0</v>
      </c>
      <c r="BB164" s="208"/>
      <c r="BC164" s="207">
        <f>[1]!'ai[160].LL.EN'</f>
        <v>0</v>
      </c>
      <c r="BD164" s="207">
        <f>[1]!'ai[160].LL.V'</f>
        <v>0</v>
      </c>
      <c r="BE164" s="207">
        <f>[1]!'ai[160].LL.fix'</f>
        <v>0</v>
      </c>
      <c r="BF164" s="208"/>
      <c r="BG164" s="207">
        <f>[1]!'ai[160].HH.EN'</f>
        <v>0</v>
      </c>
      <c r="BH164" s="207">
        <f>[1]!'ai[160].HH.V'</f>
        <v>0</v>
      </c>
      <c r="BI164" s="207">
        <f>[1]!'ai[160].HH.fix'</f>
        <v>0</v>
      </c>
      <c r="BJ164" s="210"/>
      <c r="BK164" s="207">
        <f>[1]!'ai[160].group'</f>
        <v>4</v>
      </c>
      <c r="BL164" s="207">
        <f>[1]!'ai[160].state'</f>
        <v>4</v>
      </c>
      <c r="BM164" s="207">
        <f>[1]!'ai[160].isInvScale'</f>
        <v>0</v>
      </c>
    </row>
    <row r="165" spans="1:65">
      <c r="A165" s="445"/>
      <c r="B165" s="446"/>
      <c r="C165" s="221">
        <v>1</v>
      </c>
      <c r="D165" s="221">
        <v>1</v>
      </c>
      <c r="E165" s="222" t="s">
        <v>367</v>
      </c>
      <c r="F165" s="222" t="s">
        <v>368</v>
      </c>
      <c r="G165" s="207">
        <f>[1]!'ai[161].ZL'</f>
        <v>0</v>
      </c>
      <c r="H165" s="207">
        <f>[1]!'ai[161].ZH'</f>
        <v>100</v>
      </c>
      <c r="I165" s="221" t="s">
        <v>366</v>
      </c>
      <c r="J165" s="207">
        <f>[1]!'ai[161].RL.V'</f>
        <v>30</v>
      </c>
      <c r="K165" s="207">
        <f>[1]!'ai[161].RH.V'</f>
        <v>60</v>
      </c>
      <c r="L165" s="207">
        <f>[1]!'ai[161].L.V'</f>
        <v>0</v>
      </c>
      <c r="M165" s="207">
        <f>[1]!'ai[161].H.V'</f>
        <v>0</v>
      </c>
      <c r="N165" s="207">
        <f>[1]!'ai[161].LL.V'</f>
        <v>0</v>
      </c>
      <c r="O165" s="207">
        <f>[1]!'ai[161].HH.V'</f>
        <v>0</v>
      </c>
      <c r="P165" s="223">
        <v>1</v>
      </c>
      <c r="Q165" s="224">
        <v>0</v>
      </c>
      <c r="R165" s="184"/>
      <c r="T165" s="207">
        <f>[1]!'ai[161].group'</f>
        <v>4</v>
      </c>
      <c r="X165" s="207">
        <f>[1]!'ai[161].EN'</f>
        <v>1</v>
      </c>
      <c r="Y165" s="207">
        <f>[1]!'ai[161].i'</f>
        <v>5.0249099999999996E-3</v>
      </c>
      <c r="Z165" s="207">
        <f>[1]!'ai[161].isForce'</f>
        <v>0</v>
      </c>
      <c r="AA165" s="207" t="e">
        <f>[1]!'ai[161].vRaw'</f>
        <v>#REF!</v>
      </c>
      <c r="AB165" s="207">
        <f>[1]!'ai[161].isCorrect'</f>
        <v>0</v>
      </c>
      <c r="AC165" s="207" t="e">
        <f>[1]!'ai[161].vCorrect'</f>
        <v>#REF!</v>
      </c>
      <c r="AD165" s="207">
        <f>[1]!'ai[161].v'</f>
        <v>0</v>
      </c>
      <c r="AE165" s="207" t="e">
        <f>[1]!'ai[161].isCut'</f>
        <v>#REF!</v>
      </c>
      <c r="AF165" s="207" t="e">
        <f>[1]!'ai[161].vCut'</f>
        <v>#REF!</v>
      </c>
      <c r="AG165" s="208"/>
      <c r="AH165" s="207">
        <f>[1]!'ai[161].break.sgn'</f>
        <v>1</v>
      </c>
      <c r="AI165" s="208"/>
      <c r="AJ165" s="207">
        <f>[1]!'ai[161].ZL'</f>
        <v>0</v>
      </c>
      <c r="AK165" s="207">
        <f>[1]!'ai[161].ZH'</f>
        <v>100</v>
      </c>
      <c r="AL165" s="208"/>
      <c r="AM165" s="207">
        <f>[1]!'ai[161].RL.EN'</f>
        <v>1</v>
      </c>
      <c r="AN165" s="207">
        <f>[1]!'ai[161].RL.V'</f>
        <v>30</v>
      </c>
      <c r="AO165" s="207">
        <f>[1]!'ai[161].RL.fix'</f>
        <v>0</v>
      </c>
      <c r="AP165" s="208"/>
      <c r="AQ165" s="207">
        <f>[1]!'ai[161].RH.EN'</f>
        <v>1</v>
      </c>
      <c r="AR165" s="207">
        <f>[1]!'ai[161].RH.V'</f>
        <v>60</v>
      </c>
      <c r="AS165" s="207">
        <f>[1]!'ai[161].RH.fix'</f>
        <v>0</v>
      </c>
      <c r="AT165" s="208"/>
      <c r="AU165" s="207">
        <f>[1]!'ai[161].L.EN'</f>
        <v>0</v>
      </c>
      <c r="AV165" s="207">
        <f>[1]!'ai[161].L.V'</f>
        <v>0</v>
      </c>
      <c r="AW165" s="207">
        <f>[1]!'ai[161].L.fix'</f>
        <v>0</v>
      </c>
      <c r="AX165" s="208"/>
      <c r="AY165" s="207">
        <f>[1]!'ai[161].H.EN'</f>
        <v>0</v>
      </c>
      <c r="AZ165" s="207">
        <f>[1]!'ai[161].H.V'</f>
        <v>0</v>
      </c>
      <c r="BA165" s="207">
        <f>[1]!'ai[161].H.fix'</f>
        <v>0</v>
      </c>
      <c r="BB165" s="208"/>
      <c r="BC165" s="207">
        <f>[1]!'ai[161].LL.EN'</f>
        <v>0</v>
      </c>
      <c r="BD165" s="207">
        <f>[1]!'ai[161].LL.V'</f>
        <v>0</v>
      </c>
      <c r="BE165" s="207">
        <f>[1]!'ai[161].LL.fix'</f>
        <v>0</v>
      </c>
      <c r="BF165" s="208"/>
      <c r="BG165" s="207">
        <f>[1]!'ai[161].HH.EN'</f>
        <v>0</v>
      </c>
      <c r="BH165" s="207">
        <f>[1]!'ai[161].HH.V'</f>
        <v>0</v>
      </c>
      <c r="BI165" s="207">
        <f>[1]!'ai[161].HH.fix'</f>
        <v>0</v>
      </c>
      <c r="BJ165" s="210"/>
      <c r="BK165" s="207">
        <f>[1]!'ai[161].group'</f>
        <v>4</v>
      </c>
      <c r="BL165" s="207">
        <f>[1]!'ai[161].state'</f>
        <v>4</v>
      </c>
      <c r="BM165" s="207">
        <f>[1]!'ai[161].isInvScale'</f>
        <v>0</v>
      </c>
    </row>
    <row r="166" spans="1:65">
      <c r="A166" s="445"/>
      <c r="B166" s="446"/>
      <c r="C166" s="221">
        <v>2</v>
      </c>
      <c r="D166" s="221">
        <v>2</v>
      </c>
      <c r="E166" s="222" t="s">
        <v>369</v>
      </c>
      <c r="F166" s="222" t="s">
        <v>370</v>
      </c>
      <c r="G166" s="207">
        <f>[1]!'ai[162].ZL'</f>
        <v>0</v>
      </c>
      <c r="H166" s="207">
        <f>[1]!'ai[162].ZH'</f>
        <v>100</v>
      </c>
      <c r="I166" s="221" t="s">
        <v>366</v>
      </c>
      <c r="J166" s="207">
        <f>[1]!'ai[162].RL.V'</f>
        <v>30</v>
      </c>
      <c r="K166" s="207">
        <f>[1]!'ai[162].RH.V'</f>
        <v>50</v>
      </c>
      <c r="L166" s="207">
        <f>[1]!'ai[162].L.V'</f>
        <v>0</v>
      </c>
      <c r="M166" s="207">
        <f>[1]!'ai[162].H.V'</f>
        <v>0</v>
      </c>
      <c r="N166" s="207">
        <f>[1]!'ai[162].LL.V'</f>
        <v>0</v>
      </c>
      <c r="O166" s="207">
        <f>[1]!'ai[162].HH.V'</f>
        <v>0</v>
      </c>
      <c r="P166" s="223">
        <v>1</v>
      </c>
      <c r="Q166" s="224">
        <v>0</v>
      </c>
      <c r="R166" s="184"/>
      <c r="T166" s="207">
        <f>[1]!'ai[162].group'</f>
        <v>4</v>
      </c>
      <c r="X166" s="207">
        <f>[1]!'ai[162].EN'</f>
        <v>1</v>
      </c>
      <c r="Y166" s="207">
        <f>[1]!'ai[162].i'</f>
        <v>4.7111510000000002E-3</v>
      </c>
      <c r="Z166" s="207">
        <f>[1]!'ai[162].isForce'</f>
        <v>0</v>
      </c>
      <c r="AA166" s="207" t="e">
        <f>[1]!'ai[162].vRaw'</f>
        <v>#REF!</v>
      </c>
      <c r="AB166" s="207">
        <f>[1]!'ai[162].isCorrect'</f>
        <v>0</v>
      </c>
      <c r="AC166" s="207" t="e">
        <f>[1]!'ai[162].vCorrect'</f>
        <v>#REF!</v>
      </c>
      <c r="AD166" s="207">
        <f>[1]!'ai[162].v'</f>
        <v>0</v>
      </c>
      <c r="AE166" s="207" t="e">
        <f>[1]!'ai[162].isCut'</f>
        <v>#REF!</v>
      </c>
      <c r="AF166" s="207" t="e">
        <f>[1]!'ai[162].vCut'</f>
        <v>#REF!</v>
      </c>
      <c r="AG166" s="208"/>
      <c r="AH166" s="207">
        <f>[1]!'ai[162].break.sgn'</f>
        <v>1</v>
      </c>
      <c r="AI166" s="208"/>
      <c r="AJ166" s="207">
        <f>[1]!'ai[162].ZL'</f>
        <v>0</v>
      </c>
      <c r="AK166" s="207">
        <f>[1]!'ai[162].ZH'</f>
        <v>100</v>
      </c>
      <c r="AL166" s="208"/>
      <c r="AM166" s="207">
        <f>[1]!'ai[162].RL.EN'</f>
        <v>1</v>
      </c>
      <c r="AN166" s="207">
        <f>[1]!'ai[162].RL.V'</f>
        <v>30</v>
      </c>
      <c r="AO166" s="207">
        <f>[1]!'ai[162].RL.fix'</f>
        <v>0</v>
      </c>
      <c r="AP166" s="208"/>
      <c r="AQ166" s="207">
        <f>[1]!'ai[162].RH.EN'</f>
        <v>1</v>
      </c>
      <c r="AR166" s="207">
        <f>[1]!'ai[162].RH.V'</f>
        <v>50</v>
      </c>
      <c r="AS166" s="207">
        <f>[1]!'ai[162].RH.fix'</f>
        <v>0</v>
      </c>
      <c r="AT166" s="208"/>
      <c r="AU166" s="207">
        <f>[1]!'ai[162].L.EN'</f>
        <v>0</v>
      </c>
      <c r="AV166" s="207">
        <f>[1]!'ai[162].L.V'</f>
        <v>0</v>
      </c>
      <c r="AW166" s="207">
        <f>[1]!'ai[162].L.fix'</f>
        <v>0</v>
      </c>
      <c r="AX166" s="208"/>
      <c r="AY166" s="207">
        <f>[1]!'ai[162].H.EN'</f>
        <v>0</v>
      </c>
      <c r="AZ166" s="207">
        <f>[1]!'ai[162].H.V'</f>
        <v>0</v>
      </c>
      <c r="BA166" s="207">
        <f>[1]!'ai[162].H.fix'</f>
        <v>0</v>
      </c>
      <c r="BB166" s="208"/>
      <c r="BC166" s="207">
        <f>[1]!'ai[162].LL.EN'</f>
        <v>0</v>
      </c>
      <c r="BD166" s="207">
        <f>[1]!'ai[162].LL.V'</f>
        <v>0</v>
      </c>
      <c r="BE166" s="207">
        <f>[1]!'ai[162].LL.fix'</f>
        <v>0</v>
      </c>
      <c r="BF166" s="208"/>
      <c r="BG166" s="207">
        <f>[1]!'ai[162].HH.EN'</f>
        <v>0</v>
      </c>
      <c r="BH166" s="207">
        <f>[1]!'ai[162].HH.V'</f>
        <v>0</v>
      </c>
      <c r="BI166" s="207">
        <f>[1]!'ai[162].HH.fix'</f>
        <v>0</v>
      </c>
      <c r="BJ166" s="210"/>
      <c r="BK166" s="207">
        <f>[1]!'ai[162].group'</f>
        <v>4</v>
      </c>
      <c r="BL166" s="207">
        <f>[1]!'ai[162].state'</f>
        <v>4</v>
      </c>
      <c r="BM166" s="207">
        <f>[1]!'ai[162].isInvScale'</f>
        <v>0</v>
      </c>
    </row>
    <row r="167" spans="1:65">
      <c r="A167" s="445"/>
      <c r="B167" s="446"/>
      <c r="C167" s="221">
        <v>3</v>
      </c>
      <c r="D167" s="221">
        <v>3</v>
      </c>
      <c r="E167" s="222" t="s">
        <v>371</v>
      </c>
      <c r="F167" s="222" t="s">
        <v>372</v>
      </c>
      <c r="G167" s="207">
        <f>[1]!'ai[163].ZL'</f>
        <v>0</v>
      </c>
      <c r="H167" s="207">
        <f>[1]!'ai[163].ZH'</f>
        <v>100</v>
      </c>
      <c r="I167" s="221" t="s">
        <v>366</v>
      </c>
      <c r="J167" s="207">
        <f>[1]!'ai[163].RL.V'</f>
        <v>20</v>
      </c>
      <c r="K167" s="207">
        <f>[1]!'ai[163].RH.V'</f>
        <v>80</v>
      </c>
      <c r="L167" s="207">
        <f>[1]!'ai[163].L.V'</f>
        <v>0</v>
      </c>
      <c r="M167" s="207">
        <f>[1]!'ai[163].H.V'</f>
        <v>0</v>
      </c>
      <c r="N167" s="207">
        <f>[1]!'ai[163].LL.V'</f>
        <v>0</v>
      </c>
      <c r="O167" s="207">
        <f>[1]!'ai[163].HH.V'</f>
        <v>0</v>
      </c>
      <c r="P167" s="223">
        <v>1</v>
      </c>
      <c r="Q167" s="224">
        <v>0</v>
      </c>
      <c r="R167" s="184"/>
      <c r="T167" s="207">
        <f>[1]!'ai[163].group'</f>
        <v>4</v>
      </c>
      <c r="X167" s="207">
        <f>[1]!'ai[163].EN'</f>
        <v>1</v>
      </c>
      <c r="Y167" s="207">
        <f>[1]!'ai[163].i'</f>
        <v>4.7111510000000002E-3</v>
      </c>
      <c r="Z167" s="207">
        <f>[1]!'ai[163].isForce'</f>
        <v>0</v>
      </c>
      <c r="AA167" s="207" t="e">
        <f>[1]!'ai[163].vRaw'</f>
        <v>#REF!</v>
      </c>
      <c r="AB167" s="207">
        <f>[1]!'ai[163].isCorrect'</f>
        <v>0</v>
      </c>
      <c r="AC167" s="207" t="e">
        <f>[1]!'ai[163].vCorrect'</f>
        <v>#REF!</v>
      </c>
      <c r="AD167" s="207">
        <f>[1]!'ai[163].v'</f>
        <v>0</v>
      </c>
      <c r="AE167" s="207" t="e">
        <f>[1]!'ai[163].isCut'</f>
        <v>#REF!</v>
      </c>
      <c r="AF167" s="207" t="e">
        <f>[1]!'ai[163].vCut'</f>
        <v>#REF!</v>
      </c>
      <c r="AG167" s="208"/>
      <c r="AH167" s="207">
        <f>[1]!'ai[163].break.sgn'</f>
        <v>1</v>
      </c>
      <c r="AI167" s="208"/>
      <c r="AJ167" s="207">
        <f>[1]!'ai[163].ZL'</f>
        <v>0</v>
      </c>
      <c r="AK167" s="207">
        <f>[1]!'ai[163].ZH'</f>
        <v>100</v>
      </c>
      <c r="AL167" s="208"/>
      <c r="AM167" s="207">
        <f>[1]!'ai[163].RL.EN'</f>
        <v>1</v>
      </c>
      <c r="AN167" s="207">
        <f>[1]!'ai[163].RL.V'</f>
        <v>20</v>
      </c>
      <c r="AO167" s="207">
        <f>[1]!'ai[163].RL.fix'</f>
        <v>0</v>
      </c>
      <c r="AP167" s="208"/>
      <c r="AQ167" s="207">
        <f>[1]!'ai[163].RH.EN'</f>
        <v>1</v>
      </c>
      <c r="AR167" s="207">
        <f>[1]!'ai[163].RH.V'</f>
        <v>80</v>
      </c>
      <c r="AS167" s="207">
        <f>[1]!'ai[163].RH.fix'</f>
        <v>0</v>
      </c>
      <c r="AT167" s="208"/>
      <c r="AU167" s="207">
        <f>[1]!'ai[163].L.EN'</f>
        <v>0</v>
      </c>
      <c r="AV167" s="207">
        <f>[1]!'ai[163].L.V'</f>
        <v>0</v>
      </c>
      <c r="AW167" s="207">
        <f>[1]!'ai[163].L.fix'</f>
        <v>0</v>
      </c>
      <c r="AX167" s="208"/>
      <c r="AY167" s="207">
        <f>[1]!'ai[163].H.EN'</f>
        <v>0</v>
      </c>
      <c r="AZ167" s="207">
        <f>[1]!'ai[163].H.V'</f>
        <v>0</v>
      </c>
      <c r="BA167" s="207">
        <f>[1]!'ai[163].H.fix'</f>
        <v>0</v>
      </c>
      <c r="BB167" s="208"/>
      <c r="BC167" s="207">
        <f>[1]!'ai[163].LL.EN'</f>
        <v>0</v>
      </c>
      <c r="BD167" s="207">
        <f>[1]!'ai[163].LL.V'</f>
        <v>0</v>
      </c>
      <c r="BE167" s="207">
        <f>[1]!'ai[163].LL.fix'</f>
        <v>0</v>
      </c>
      <c r="BF167" s="208"/>
      <c r="BG167" s="207">
        <f>[1]!'ai[163].HH.EN'</f>
        <v>0</v>
      </c>
      <c r="BH167" s="207">
        <f>[1]!'ai[163].HH.V'</f>
        <v>0</v>
      </c>
      <c r="BI167" s="207">
        <f>[1]!'ai[163].HH.fix'</f>
        <v>0</v>
      </c>
      <c r="BJ167" s="210"/>
      <c r="BK167" s="207">
        <f>[1]!'ai[163].group'</f>
        <v>4</v>
      </c>
      <c r="BL167" s="207">
        <f>[1]!'ai[163].state'</f>
        <v>4</v>
      </c>
      <c r="BM167" s="207">
        <f>[1]!'ai[163].isInvScale'</f>
        <v>0</v>
      </c>
    </row>
    <row r="168" spans="1:65">
      <c r="A168" s="445"/>
      <c r="B168" s="446"/>
      <c r="C168" s="221">
        <v>4</v>
      </c>
      <c r="D168" s="221">
        <v>4</v>
      </c>
      <c r="E168" s="222" t="s">
        <v>373</v>
      </c>
      <c r="F168" s="222" t="s">
        <v>374</v>
      </c>
      <c r="G168" s="207">
        <f>[1]!'ai[164].ZL'</f>
        <v>0</v>
      </c>
      <c r="H168" s="207">
        <f>[1]!'ai[164].ZH'</f>
        <v>100</v>
      </c>
      <c r="I168" s="221" t="s">
        <v>366</v>
      </c>
      <c r="J168" s="207">
        <f>[1]!'ai[164].RL.V'</f>
        <v>20</v>
      </c>
      <c r="K168" s="207">
        <f>[1]!'ai[164].RH.V'</f>
        <v>80</v>
      </c>
      <c r="L168" s="207">
        <f>[1]!'ai[164].L.V'</f>
        <v>0</v>
      </c>
      <c r="M168" s="207">
        <f>[1]!'ai[164].H.V'</f>
        <v>0</v>
      </c>
      <c r="N168" s="207">
        <f>[1]!'ai[164].LL.V'</f>
        <v>0</v>
      </c>
      <c r="O168" s="207">
        <f>[1]!'ai[164].HH.V'</f>
        <v>0</v>
      </c>
      <c r="P168" s="223">
        <v>1</v>
      </c>
      <c r="Q168" s="224">
        <v>0</v>
      </c>
      <c r="R168" s="184"/>
      <c r="T168" s="207">
        <f>[1]!'ai[164].group'</f>
        <v>4</v>
      </c>
      <c r="X168" s="207">
        <f>[1]!'ai[164].EN'</f>
        <v>1</v>
      </c>
      <c r="Y168" s="207">
        <f>[1]!'ai[164].i'</f>
        <v>2.5129319999999998E-3</v>
      </c>
      <c r="Z168" s="207">
        <f>[1]!'ai[164].isForce'</f>
        <v>0</v>
      </c>
      <c r="AA168" s="207" t="e">
        <f>[1]!'ai[164].vRaw'</f>
        <v>#REF!</v>
      </c>
      <c r="AB168" s="207">
        <f>[1]!'ai[164].isCorrect'</f>
        <v>0</v>
      </c>
      <c r="AC168" s="207" t="e">
        <f>[1]!'ai[164].vCorrect'</f>
        <v>#REF!</v>
      </c>
      <c r="AD168" s="207">
        <f>[1]!'ai[164].v'</f>
        <v>0</v>
      </c>
      <c r="AE168" s="207" t="e">
        <f>[1]!'ai[164].isCut'</f>
        <v>#REF!</v>
      </c>
      <c r="AF168" s="207" t="e">
        <f>[1]!'ai[164].vCut'</f>
        <v>#REF!</v>
      </c>
      <c r="AG168" s="208"/>
      <c r="AH168" s="207">
        <f>[1]!'ai[164].break.sgn'</f>
        <v>1</v>
      </c>
      <c r="AI168" s="208"/>
      <c r="AJ168" s="207">
        <f>[1]!'ai[164].ZL'</f>
        <v>0</v>
      </c>
      <c r="AK168" s="207">
        <f>[1]!'ai[164].ZH'</f>
        <v>100</v>
      </c>
      <c r="AL168" s="208"/>
      <c r="AM168" s="207">
        <f>[1]!'ai[164].RL.EN'</f>
        <v>1</v>
      </c>
      <c r="AN168" s="207">
        <f>[1]!'ai[164].RL.V'</f>
        <v>20</v>
      </c>
      <c r="AO168" s="207">
        <f>[1]!'ai[164].RL.fix'</f>
        <v>0</v>
      </c>
      <c r="AP168" s="208"/>
      <c r="AQ168" s="207">
        <f>[1]!'ai[164].RH.EN'</f>
        <v>1</v>
      </c>
      <c r="AR168" s="207">
        <f>[1]!'ai[164].RH.V'</f>
        <v>80</v>
      </c>
      <c r="AS168" s="207">
        <f>[1]!'ai[164].RH.fix'</f>
        <v>0</v>
      </c>
      <c r="AT168" s="208"/>
      <c r="AU168" s="207">
        <f>[1]!'ai[164].L.EN'</f>
        <v>0</v>
      </c>
      <c r="AV168" s="207">
        <f>[1]!'ai[164].L.V'</f>
        <v>0</v>
      </c>
      <c r="AW168" s="207">
        <f>[1]!'ai[164].L.fix'</f>
        <v>0</v>
      </c>
      <c r="AX168" s="208"/>
      <c r="AY168" s="207">
        <f>[1]!'ai[164].H.EN'</f>
        <v>0</v>
      </c>
      <c r="AZ168" s="207">
        <f>[1]!'ai[164].H.V'</f>
        <v>0</v>
      </c>
      <c r="BA168" s="207">
        <f>[1]!'ai[164].H.fix'</f>
        <v>0</v>
      </c>
      <c r="BB168" s="208"/>
      <c r="BC168" s="207">
        <f>[1]!'ai[164].LL.EN'</f>
        <v>0</v>
      </c>
      <c r="BD168" s="207">
        <f>[1]!'ai[164].LL.V'</f>
        <v>0</v>
      </c>
      <c r="BE168" s="207">
        <f>[1]!'ai[164].LL.fix'</f>
        <v>0</v>
      </c>
      <c r="BF168" s="208"/>
      <c r="BG168" s="207">
        <f>[1]!'ai[164].HH.EN'</f>
        <v>0</v>
      </c>
      <c r="BH168" s="207">
        <f>[1]!'ai[164].HH.V'</f>
        <v>0</v>
      </c>
      <c r="BI168" s="207">
        <f>[1]!'ai[164].HH.fix'</f>
        <v>0</v>
      </c>
      <c r="BJ168" s="210"/>
      <c r="BK168" s="207">
        <f>[1]!'ai[164].group'</f>
        <v>4</v>
      </c>
      <c r="BL168" s="207">
        <f>[1]!'ai[164].state'</f>
        <v>4</v>
      </c>
      <c r="BM168" s="207">
        <f>[1]!'ai[164].isInvScale'</f>
        <v>0</v>
      </c>
    </row>
    <row r="169" spans="1:65">
      <c r="A169" s="445"/>
      <c r="B169" s="446"/>
      <c r="C169" s="221">
        <v>5</v>
      </c>
      <c r="D169" s="221">
        <v>5</v>
      </c>
      <c r="E169" s="222" t="s">
        <v>375</v>
      </c>
      <c r="F169" s="222" t="s">
        <v>376</v>
      </c>
      <c r="G169" s="207">
        <f>[1]!'ai[165].ZL'</f>
        <v>0</v>
      </c>
      <c r="H169" s="207">
        <f>[1]!'ai[165].ZH'</f>
        <v>100</v>
      </c>
      <c r="I169" s="221" t="s">
        <v>366</v>
      </c>
      <c r="J169" s="207">
        <f>[1]!'ai[165].RL.V'</f>
        <v>20</v>
      </c>
      <c r="K169" s="207">
        <f>[1]!'ai[165].RH.V'</f>
        <v>80</v>
      </c>
      <c r="L169" s="207">
        <f>[1]!'ai[165].L.V'</f>
        <v>0</v>
      </c>
      <c r="M169" s="207">
        <f>[1]!'ai[165].H.V'</f>
        <v>0</v>
      </c>
      <c r="N169" s="207">
        <f>[1]!'ai[165].LL.V'</f>
        <v>0</v>
      </c>
      <c r="O169" s="207">
        <f>[1]!'ai[165].HH.V'</f>
        <v>0</v>
      </c>
      <c r="P169" s="223">
        <v>1</v>
      </c>
      <c r="Q169" s="224">
        <v>0</v>
      </c>
      <c r="R169" s="184"/>
      <c r="T169" s="207">
        <f>[1]!'ai[165].group'</f>
        <v>4</v>
      </c>
      <c r="X169" s="207">
        <f>[1]!'ai[165].EN'</f>
        <v>1</v>
      </c>
      <c r="Y169" s="207">
        <f>[1]!'ai[165].i'</f>
        <v>2.8266910000000001E-3</v>
      </c>
      <c r="Z169" s="207">
        <f>[1]!'ai[165].isForce'</f>
        <v>0</v>
      </c>
      <c r="AA169" s="207" t="e">
        <f>[1]!'ai[165].vRaw'</f>
        <v>#REF!</v>
      </c>
      <c r="AB169" s="207">
        <f>[1]!'ai[165].isCorrect'</f>
        <v>0</v>
      </c>
      <c r="AC169" s="207" t="e">
        <f>[1]!'ai[165].vCorrect'</f>
        <v>#REF!</v>
      </c>
      <c r="AD169" s="207">
        <f>[1]!'ai[165].v'</f>
        <v>0</v>
      </c>
      <c r="AE169" s="207" t="e">
        <f>[1]!'ai[165].isCut'</f>
        <v>#REF!</v>
      </c>
      <c r="AF169" s="207" t="e">
        <f>[1]!'ai[165].vCut'</f>
        <v>#REF!</v>
      </c>
      <c r="AG169" s="208"/>
      <c r="AH169" s="207">
        <f>[1]!'ai[165].break.sgn'</f>
        <v>1</v>
      </c>
      <c r="AI169" s="208"/>
      <c r="AJ169" s="207">
        <f>[1]!'ai[165].ZL'</f>
        <v>0</v>
      </c>
      <c r="AK169" s="207">
        <f>[1]!'ai[165].ZH'</f>
        <v>100</v>
      </c>
      <c r="AL169" s="208"/>
      <c r="AM169" s="207">
        <f>[1]!'ai[165].RL.EN'</f>
        <v>1</v>
      </c>
      <c r="AN169" s="207">
        <f>[1]!'ai[165].RL.V'</f>
        <v>20</v>
      </c>
      <c r="AO169" s="207">
        <f>[1]!'ai[165].RL.fix'</f>
        <v>0</v>
      </c>
      <c r="AP169" s="208"/>
      <c r="AQ169" s="207">
        <f>[1]!'ai[165].RH.EN'</f>
        <v>1</v>
      </c>
      <c r="AR169" s="207">
        <f>[1]!'ai[165].RH.V'</f>
        <v>80</v>
      </c>
      <c r="AS169" s="207">
        <f>[1]!'ai[165].RH.fix'</f>
        <v>0</v>
      </c>
      <c r="AT169" s="208"/>
      <c r="AU169" s="207">
        <f>[1]!'ai[165].L.EN'</f>
        <v>0</v>
      </c>
      <c r="AV169" s="207">
        <f>[1]!'ai[165].L.V'</f>
        <v>0</v>
      </c>
      <c r="AW169" s="207">
        <f>[1]!'ai[165].L.fix'</f>
        <v>0</v>
      </c>
      <c r="AX169" s="208"/>
      <c r="AY169" s="207">
        <f>[1]!'ai[165].H.EN'</f>
        <v>0</v>
      </c>
      <c r="AZ169" s="207">
        <f>[1]!'ai[165].H.V'</f>
        <v>0</v>
      </c>
      <c r="BA169" s="207">
        <f>[1]!'ai[165].H.fix'</f>
        <v>0</v>
      </c>
      <c r="BB169" s="208"/>
      <c r="BC169" s="207">
        <f>[1]!'ai[165].LL.EN'</f>
        <v>0</v>
      </c>
      <c r="BD169" s="207">
        <f>[1]!'ai[165].LL.V'</f>
        <v>0</v>
      </c>
      <c r="BE169" s="207">
        <f>[1]!'ai[165].LL.fix'</f>
        <v>0</v>
      </c>
      <c r="BF169" s="208"/>
      <c r="BG169" s="207">
        <f>[1]!'ai[165].HH.EN'</f>
        <v>0</v>
      </c>
      <c r="BH169" s="207">
        <f>[1]!'ai[165].HH.V'</f>
        <v>0</v>
      </c>
      <c r="BI169" s="207">
        <f>[1]!'ai[165].HH.fix'</f>
        <v>0</v>
      </c>
      <c r="BJ169" s="210"/>
      <c r="BK169" s="207">
        <f>[1]!'ai[165].group'</f>
        <v>4</v>
      </c>
      <c r="BL169" s="207">
        <f>[1]!'ai[165].state'</f>
        <v>4</v>
      </c>
      <c r="BM169" s="207">
        <f>[1]!'ai[165].isInvScale'</f>
        <v>0</v>
      </c>
    </row>
    <row r="170" spans="1:65">
      <c r="A170" s="445"/>
      <c r="B170" s="446"/>
      <c r="C170" s="221">
        <v>6</v>
      </c>
      <c r="D170" s="221">
        <v>6</v>
      </c>
      <c r="E170" s="222" t="s">
        <v>377</v>
      </c>
      <c r="F170" s="222" t="s">
        <v>378</v>
      </c>
      <c r="G170" s="207">
        <f>[1]!'ai[166].ZL'</f>
        <v>0</v>
      </c>
      <c r="H170" s="207">
        <f>[1]!'ai[166].ZH'</f>
        <v>100</v>
      </c>
      <c r="I170" s="221" t="s">
        <v>366</v>
      </c>
      <c r="J170" s="207">
        <f>[1]!'ai[166].RL.V'</f>
        <v>20</v>
      </c>
      <c r="K170" s="207">
        <f>[1]!'ai[166].RH.V'</f>
        <v>80</v>
      </c>
      <c r="L170" s="207">
        <f>[1]!'ai[166].L.V'</f>
        <v>0</v>
      </c>
      <c r="M170" s="207">
        <f>[1]!'ai[166].H.V'</f>
        <v>0</v>
      </c>
      <c r="N170" s="207">
        <f>[1]!'ai[166].LL.V'</f>
        <v>0</v>
      </c>
      <c r="O170" s="207">
        <f>[1]!'ai[166].HH.V'</f>
        <v>0</v>
      </c>
      <c r="P170" s="223">
        <v>1</v>
      </c>
      <c r="Q170" s="224">
        <v>0</v>
      </c>
      <c r="R170" s="184"/>
      <c r="T170" s="207">
        <f>[1]!'ai[166].group'</f>
        <v>4</v>
      </c>
      <c r="X170" s="207">
        <f>[1]!'ai[166].EN'</f>
        <v>1</v>
      </c>
      <c r="Y170" s="207">
        <f>[1]!'ai[166].i'</f>
        <v>2.8266910000000001E-3</v>
      </c>
      <c r="Z170" s="207">
        <f>[1]!'ai[166].isForce'</f>
        <v>0</v>
      </c>
      <c r="AA170" s="207" t="e">
        <f>[1]!'ai[166].vRaw'</f>
        <v>#REF!</v>
      </c>
      <c r="AB170" s="207">
        <f>[1]!'ai[166].isCorrect'</f>
        <v>0</v>
      </c>
      <c r="AC170" s="207" t="e">
        <f>[1]!'ai[166].vCorrect'</f>
        <v>#REF!</v>
      </c>
      <c r="AD170" s="207">
        <f>[1]!'ai[166].v'</f>
        <v>0</v>
      </c>
      <c r="AE170" s="207" t="e">
        <f>[1]!'ai[166].isCut'</f>
        <v>#REF!</v>
      </c>
      <c r="AF170" s="207" t="e">
        <f>[1]!'ai[166].vCut'</f>
        <v>#REF!</v>
      </c>
      <c r="AG170" s="208"/>
      <c r="AH170" s="207">
        <f>[1]!'ai[166].break.sgn'</f>
        <v>1</v>
      </c>
      <c r="AI170" s="208"/>
      <c r="AJ170" s="207">
        <f>[1]!'ai[166].ZL'</f>
        <v>0</v>
      </c>
      <c r="AK170" s="207">
        <f>[1]!'ai[166].ZH'</f>
        <v>100</v>
      </c>
      <c r="AL170" s="208"/>
      <c r="AM170" s="207">
        <f>[1]!'ai[166].RL.EN'</f>
        <v>1</v>
      </c>
      <c r="AN170" s="207">
        <f>[1]!'ai[166].RL.V'</f>
        <v>20</v>
      </c>
      <c r="AO170" s="207">
        <f>[1]!'ai[166].RL.fix'</f>
        <v>0</v>
      </c>
      <c r="AP170" s="208"/>
      <c r="AQ170" s="207">
        <f>[1]!'ai[166].RH.EN'</f>
        <v>1</v>
      </c>
      <c r="AR170" s="207">
        <f>[1]!'ai[166].RH.V'</f>
        <v>80</v>
      </c>
      <c r="AS170" s="207">
        <f>[1]!'ai[166].RH.fix'</f>
        <v>0</v>
      </c>
      <c r="AT170" s="208"/>
      <c r="AU170" s="207">
        <f>[1]!'ai[166].L.EN'</f>
        <v>0</v>
      </c>
      <c r="AV170" s="207">
        <f>[1]!'ai[166].L.V'</f>
        <v>0</v>
      </c>
      <c r="AW170" s="207">
        <f>[1]!'ai[166].L.fix'</f>
        <v>0</v>
      </c>
      <c r="AX170" s="208"/>
      <c r="AY170" s="207">
        <f>[1]!'ai[166].H.EN'</f>
        <v>0</v>
      </c>
      <c r="AZ170" s="207">
        <f>[1]!'ai[166].H.V'</f>
        <v>0</v>
      </c>
      <c r="BA170" s="207">
        <f>[1]!'ai[166].H.fix'</f>
        <v>0</v>
      </c>
      <c r="BB170" s="208"/>
      <c r="BC170" s="207">
        <f>[1]!'ai[166].LL.EN'</f>
        <v>0</v>
      </c>
      <c r="BD170" s="207">
        <f>[1]!'ai[166].LL.V'</f>
        <v>0</v>
      </c>
      <c r="BE170" s="207">
        <f>[1]!'ai[166].LL.fix'</f>
        <v>0</v>
      </c>
      <c r="BF170" s="208"/>
      <c r="BG170" s="207">
        <f>[1]!'ai[166].HH.EN'</f>
        <v>0</v>
      </c>
      <c r="BH170" s="207">
        <f>[1]!'ai[166].HH.V'</f>
        <v>0</v>
      </c>
      <c r="BI170" s="207">
        <f>[1]!'ai[166].HH.fix'</f>
        <v>0</v>
      </c>
      <c r="BJ170" s="209"/>
      <c r="BK170" s="207">
        <f>[1]!'ai[166].group'</f>
        <v>4</v>
      </c>
      <c r="BL170" s="207">
        <f>[1]!'ai[166].state'</f>
        <v>4</v>
      </c>
      <c r="BM170" s="207">
        <f>[1]!'ai[166].isInvScale'</f>
        <v>0</v>
      </c>
    </row>
    <row r="171" spans="1:65">
      <c r="A171" s="445"/>
      <c r="B171" s="446"/>
      <c r="C171" s="221">
        <v>7</v>
      </c>
      <c r="D171" s="221">
        <v>7</v>
      </c>
      <c r="E171" s="222" t="s">
        <v>379</v>
      </c>
      <c r="F171" s="222" t="s">
        <v>380</v>
      </c>
      <c r="G171" s="207">
        <f>[1]!'ai[167].ZL'</f>
        <v>0</v>
      </c>
      <c r="H171" s="207">
        <f>[1]!'ai[167].ZH'</f>
        <v>100</v>
      </c>
      <c r="I171" s="221" t="s">
        <v>366</v>
      </c>
      <c r="J171" s="207">
        <f>[1]!'ai[167].RL.V'</f>
        <v>20</v>
      </c>
      <c r="K171" s="207">
        <f>[1]!'ai[167].RH.V'</f>
        <v>80</v>
      </c>
      <c r="L171" s="207">
        <f>[1]!'ai[167].L.V'</f>
        <v>0</v>
      </c>
      <c r="M171" s="207">
        <f>[1]!'ai[167].H.V'</f>
        <v>0</v>
      </c>
      <c r="N171" s="207">
        <f>[1]!'ai[167].LL.V'</f>
        <v>0</v>
      </c>
      <c r="O171" s="207">
        <f>[1]!'ai[167].HH.V'</f>
        <v>0</v>
      </c>
      <c r="P171" s="223">
        <v>1</v>
      </c>
      <c r="Q171" s="224">
        <v>0</v>
      </c>
      <c r="R171" s="184"/>
      <c r="T171" s="207">
        <f>[1]!'ai[167].group'</f>
        <v>4</v>
      </c>
      <c r="X171" s="207">
        <f>[1]!'ai[167].EN'</f>
        <v>1</v>
      </c>
      <c r="Y171" s="207">
        <f>[1]!'ai[167].i'</f>
        <v>2.8266910000000001E-3</v>
      </c>
      <c r="Z171" s="207">
        <f>[1]!'ai[167].isForce'</f>
        <v>0</v>
      </c>
      <c r="AA171" s="207" t="e">
        <f>[1]!'ai[167].vRaw'</f>
        <v>#REF!</v>
      </c>
      <c r="AB171" s="207">
        <f>[1]!'ai[167].isCorrect'</f>
        <v>0</v>
      </c>
      <c r="AC171" s="207" t="e">
        <f>[1]!'ai[167].vCorrect'</f>
        <v>#REF!</v>
      </c>
      <c r="AD171" s="207">
        <f>[1]!'ai[167].v'</f>
        <v>0</v>
      </c>
      <c r="AE171" s="207" t="e">
        <f>[1]!'ai[167].isCut'</f>
        <v>#REF!</v>
      </c>
      <c r="AF171" s="207" t="e">
        <f>[1]!'ai[167].vCut'</f>
        <v>#REF!</v>
      </c>
      <c r="AG171" s="208"/>
      <c r="AH171" s="207">
        <f>[1]!'ai[167].break.sgn'</f>
        <v>1</v>
      </c>
      <c r="AI171" s="208"/>
      <c r="AJ171" s="207">
        <f>[1]!'ai[167].ZL'</f>
        <v>0</v>
      </c>
      <c r="AK171" s="207">
        <f>[1]!'ai[167].ZH'</f>
        <v>100</v>
      </c>
      <c r="AL171" s="208"/>
      <c r="AM171" s="207">
        <f>[1]!'ai[167].RL.EN'</f>
        <v>1</v>
      </c>
      <c r="AN171" s="207">
        <f>[1]!'ai[167].RL.V'</f>
        <v>20</v>
      </c>
      <c r="AO171" s="207">
        <f>[1]!'ai[167].RL.fix'</f>
        <v>0</v>
      </c>
      <c r="AP171" s="208"/>
      <c r="AQ171" s="207">
        <f>[1]!'ai[167].RH.EN'</f>
        <v>1</v>
      </c>
      <c r="AR171" s="207">
        <f>[1]!'ai[167].RH.V'</f>
        <v>80</v>
      </c>
      <c r="AS171" s="207">
        <f>[1]!'ai[167].RH.fix'</f>
        <v>0</v>
      </c>
      <c r="AT171" s="208"/>
      <c r="AU171" s="207">
        <f>[1]!'ai[167].L.EN'</f>
        <v>0</v>
      </c>
      <c r="AV171" s="207">
        <f>[1]!'ai[167].L.V'</f>
        <v>0</v>
      </c>
      <c r="AW171" s="207">
        <f>[1]!'ai[167].L.fix'</f>
        <v>0</v>
      </c>
      <c r="AX171" s="208"/>
      <c r="AY171" s="207">
        <f>[1]!'ai[167].H.EN'</f>
        <v>0</v>
      </c>
      <c r="AZ171" s="207">
        <f>[1]!'ai[167].H.V'</f>
        <v>0</v>
      </c>
      <c r="BA171" s="207">
        <f>[1]!'ai[167].H.fix'</f>
        <v>0</v>
      </c>
      <c r="BB171" s="208"/>
      <c r="BC171" s="207">
        <f>[1]!'ai[167].LL.EN'</f>
        <v>0</v>
      </c>
      <c r="BD171" s="207">
        <f>[1]!'ai[167].LL.V'</f>
        <v>0</v>
      </c>
      <c r="BE171" s="207">
        <f>[1]!'ai[167].LL.fix'</f>
        <v>0</v>
      </c>
      <c r="BF171" s="208"/>
      <c r="BG171" s="207">
        <f>[1]!'ai[167].HH.EN'</f>
        <v>0</v>
      </c>
      <c r="BH171" s="207">
        <f>[1]!'ai[167].HH.V'</f>
        <v>0</v>
      </c>
      <c r="BI171" s="207">
        <f>[1]!'ai[167].HH.fix'</f>
        <v>0</v>
      </c>
      <c r="BJ171" s="209"/>
      <c r="BK171" s="207">
        <f>[1]!'ai[167].group'</f>
        <v>4</v>
      </c>
      <c r="BL171" s="207">
        <f>[1]!'ai[167].state'</f>
        <v>4</v>
      </c>
      <c r="BM171" s="207">
        <f>[1]!'ai[167].isInvScale'</f>
        <v>0</v>
      </c>
    </row>
    <row r="172" spans="1:65">
      <c r="A172" s="445"/>
      <c r="B172" s="446"/>
      <c r="C172" s="221">
        <v>8</v>
      </c>
      <c r="D172" s="221">
        <v>8</v>
      </c>
      <c r="E172" s="222" t="s">
        <v>381</v>
      </c>
      <c r="F172" s="222" t="s">
        <v>382</v>
      </c>
      <c r="G172" s="207">
        <f>[1]!'ai[168].ZL'</f>
        <v>0</v>
      </c>
      <c r="H172" s="207">
        <f>[1]!'ai[168].ZH'</f>
        <v>100</v>
      </c>
      <c r="I172" s="221" t="s">
        <v>383</v>
      </c>
      <c r="J172" s="207">
        <f>[1]!'ai[168].RL.V'</f>
        <v>20</v>
      </c>
      <c r="K172" s="207">
        <f>[1]!'ai[168].RH.V'</f>
        <v>80</v>
      </c>
      <c r="L172" s="207">
        <f>[1]!'ai[168].L.V'</f>
        <v>0</v>
      </c>
      <c r="M172" s="207">
        <f>[1]!'ai[168].H.V'</f>
        <v>0</v>
      </c>
      <c r="N172" s="207">
        <f>[1]!'ai[168].LL.V'</f>
        <v>0</v>
      </c>
      <c r="O172" s="207">
        <f>[1]!'ai[168].HH.V'</f>
        <v>0</v>
      </c>
      <c r="P172" s="223">
        <v>1</v>
      </c>
      <c r="Q172" s="224"/>
      <c r="R172" s="184"/>
      <c r="T172" s="207">
        <f>[1]!'ai[168].group'</f>
        <v>4</v>
      </c>
      <c r="X172" s="207">
        <f>[1]!'ai[168].EN'</f>
        <v>1</v>
      </c>
      <c r="Y172" s="207">
        <f>[1]!'ai[168].i'</f>
        <v>1.8844599999999999E-3</v>
      </c>
      <c r="Z172" s="207">
        <f>[1]!'ai[168].isForce'</f>
        <v>0</v>
      </c>
      <c r="AA172" s="207" t="e">
        <f>[1]!'ai[168].vRaw'</f>
        <v>#REF!</v>
      </c>
      <c r="AB172" s="207">
        <f>[1]!'ai[168].isCorrect'</f>
        <v>0</v>
      </c>
      <c r="AC172" s="207" t="e">
        <f>[1]!'ai[168].vCorrect'</f>
        <v>#REF!</v>
      </c>
      <c r="AD172" s="207">
        <f>[1]!'ai[168].v'</f>
        <v>0</v>
      </c>
      <c r="AE172" s="207" t="e">
        <f>[1]!'ai[168].isCut'</f>
        <v>#REF!</v>
      </c>
      <c r="AF172" s="207" t="e">
        <f>[1]!'ai[168].vCut'</f>
        <v>#REF!</v>
      </c>
      <c r="AG172" s="208"/>
      <c r="AH172" s="207">
        <f>[1]!'ai[168].break.sgn'</f>
        <v>1</v>
      </c>
      <c r="AI172" s="208"/>
      <c r="AJ172" s="207">
        <f>[1]!'ai[168].ZL'</f>
        <v>0</v>
      </c>
      <c r="AK172" s="207">
        <f>[1]!'ai[168].ZH'</f>
        <v>100</v>
      </c>
      <c r="AL172" s="208"/>
      <c r="AM172" s="207">
        <f>[1]!'ai[168].RL.EN'</f>
        <v>1</v>
      </c>
      <c r="AN172" s="207">
        <f>[1]!'ai[168].RL.V'</f>
        <v>20</v>
      </c>
      <c r="AO172" s="207">
        <f>[1]!'ai[168].RL.fix'</f>
        <v>0</v>
      </c>
      <c r="AP172" s="208"/>
      <c r="AQ172" s="207">
        <f>[1]!'ai[168].RH.EN'</f>
        <v>1</v>
      </c>
      <c r="AR172" s="207">
        <f>[1]!'ai[168].RH.V'</f>
        <v>80</v>
      </c>
      <c r="AS172" s="207">
        <f>[1]!'ai[168].RH.fix'</f>
        <v>0</v>
      </c>
      <c r="AT172" s="208"/>
      <c r="AU172" s="207">
        <f>[1]!'ai[168].L.EN'</f>
        <v>0</v>
      </c>
      <c r="AV172" s="207">
        <f>[1]!'ai[168].L.V'</f>
        <v>0</v>
      </c>
      <c r="AW172" s="207">
        <f>[1]!'ai[168].L.fix'</f>
        <v>0</v>
      </c>
      <c r="AX172" s="208"/>
      <c r="AY172" s="207">
        <f>[1]!'ai[168].H.EN'</f>
        <v>0</v>
      </c>
      <c r="AZ172" s="207">
        <f>[1]!'ai[168].H.V'</f>
        <v>0</v>
      </c>
      <c r="BA172" s="207">
        <f>[1]!'ai[168].H.fix'</f>
        <v>0</v>
      </c>
      <c r="BB172" s="208"/>
      <c r="BC172" s="207">
        <f>[1]!'ai[168].LL.EN'</f>
        <v>0</v>
      </c>
      <c r="BD172" s="207">
        <f>[1]!'ai[168].LL.V'</f>
        <v>0</v>
      </c>
      <c r="BE172" s="207">
        <f>[1]!'ai[168].LL.fix'</f>
        <v>0</v>
      </c>
      <c r="BF172" s="208"/>
      <c r="BG172" s="207">
        <f>[1]!'ai[168].HH.EN'</f>
        <v>0</v>
      </c>
      <c r="BH172" s="207">
        <f>[1]!'ai[168].HH.V'</f>
        <v>0</v>
      </c>
      <c r="BI172" s="207">
        <f>[1]!'ai[168].HH.fix'</f>
        <v>0</v>
      </c>
      <c r="BJ172" s="209"/>
      <c r="BK172" s="207">
        <f>[1]!'ai[168].group'</f>
        <v>4</v>
      </c>
      <c r="BL172" s="207">
        <f>[1]!'ai[168].state'</f>
        <v>4</v>
      </c>
      <c r="BM172" s="207">
        <f>[1]!'ai[168].isInvScale'</f>
        <v>0</v>
      </c>
    </row>
    <row r="173" spans="1:65">
      <c r="A173" s="445"/>
      <c r="B173" s="446"/>
      <c r="C173" s="221">
        <v>9</v>
      </c>
      <c r="D173" s="221">
        <v>9</v>
      </c>
      <c r="E173" s="222" t="s">
        <v>384</v>
      </c>
      <c r="F173" s="222" t="s">
        <v>385</v>
      </c>
      <c r="G173" s="207">
        <f>[1]!'ai[169].ZL'</f>
        <v>0</v>
      </c>
      <c r="H173" s="207">
        <f>[1]!'ai[169].ZH'</f>
        <v>300</v>
      </c>
      <c r="I173" s="221" t="s">
        <v>383</v>
      </c>
      <c r="J173" s="207">
        <f>[1]!'ai[169].RL.V'</f>
        <v>160</v>
      </c>
      <c r="K173" s="207">
        <f>[1]!'ai[169].RH.V'</f>
        <v>170</v>
      </c>
      <c r="L173" s="207">
        <f>[1]!'ai[169].L.V'</f>
        <v>0</v>
      </c>
      <c r="M173" s="207">
        <f>[1]!'ai[169].H.V'</f>
        <v>0</v>
      </c>
      <c r="N173" s="207">
        <f>[1]!'ai[169].LL.V'</f>
        <v>0</v>
      </c>
      <c r="O173" s="207">
        <f>[1]!'ai[169].HH.V'</f>
        <v>0</v>
      </c>
      <c r="P173" s="223">
        <v>1</v>
      </c>
      <c r="Q173" s="224"/>
      <c r="R173" s="184"/>
      <c r="T173" s="207">
        <f>[1]!'ai[169].group'</f>
        <v>4</v>
      </c>
      <c r="X173" s="207">
        <f>[1]!'ai[169].EN'</f>
        <v>1</v>
      </c>
      <c r="Y173" s="207">
        <f>[1]!'ai[169].i'</f>
        <v>2.198219E-3</v>
      </c>
      <c r="Z173" s="207">
        <f>[1]!'ai[169].isForce'</f>
        <v>0</v>
      </c>
      <c r="AA173" s="207" t="e">
        <f>[1]!'ai[169].vRaw'</f>
        <v>#REF!</v>
      </c>
      <c r="AB173" s="207">
        <f>[1]!'ai[169].isCorrect'</f>
        <v>0</v>
      </c>
      <c r="AC173" s="207" t="e">
        <f>[1]!'ai[169].vCorrect'</f>
        <v>#REF!</v>
      </c>
      <c r="AD173" s="207">
        <f>[1]!'ai[169].v'</f>
        <v>0</v>
      </c>
      <c r="AE173" s="207" t="e">
        <f>[1]!'ai[169].isCut'</f>
        <v>#REF!</v>
      </c>
      <c r="AF173" s="207" t="e">
        <f>[1]!'ai[169].vCut'</f>
        <v>#REF!</v>
      </c>
      <c r="AG173" s="208"/>
      <c r="AH173" s="207">
        <f>[1]!'ai[169].break.sgn'</f>
        <v>1</v>
      </c>
      <c r="AI173" s="208"/>
      <c r="AJ173" s="207">
        <f>[1]!'ai[169].ZL'</f>
        <v>0</v>
      </c>
      <c r="AK173" s="207">
        <f>[1]!'ai[169].ZH'</f>
        <v>300</v>
      </c>
      <c r="AL173" s="208"/>
      <c r="AM173" s="207">
        <f>[1]!'ai[169].RL.EN'</f>
        <v>1</v>
      </c>
      <c r="AN173" s="207">
        <f>[1]!'ai[169].RL.V'</f>
        <v>160</v>
      </c>
      <c r="AO173" s="207">
        <f>[1]!'ai[169].RL.fix'</f>
        <v>0</v>
      </c>
      <c r="AP173" s="208"/>
      <c r="AQ173" s="207">
        <f>[1]!'ai[169].RH.EN'</f>
        <v>1</v>
      </c>
      <c r="AR173" s="207">
        <f>[1]!'ai[169].RH.V'</f>
        <v>170</v>
      </c>
      <c r="AS173" s="207">
        <f>[1]!'ai[169].RH.fix'</f>
        <v>0</v>
      </c>
      <c r="AT173" s="208"/>
      <c r="AU173" s="207">
        <f>[1]!'ai[169].L.EN'</f>
        <v>0</v>
      </c>
      <c r="AV173" s="207">
        <f>[1]!'ai[169].L.V'</f>
        <v>0</v>
      </c>
      <c r="AW173" s="207">
        <f>[1]!'ai[169].L.fix'</f>
        <v>0</v>
      </c>
      <c r="AX173" s="208"/>
      <c r="AY173" s="207">
        <f>[1]!'ai[169].H.EN'</f>
        <v>0</v>
      </c>
      <c r="AZ173" s="207">
        <f>[1]!'ai[169].H.V'</f>
        <v>0</v>
      </c>
      <c r="BA173" s="207">
        <f>[1]!'ai[169].H.fix'</f>
        <v>0</v>
      </c>
      <c r="BB173" s="208"/>
      <c r="BC173" s="207">
        <f>[1]!'ai[169].LL.EN'</f>
        <v>0</v>
      </c>
      <c r="BD173" s="207">
        <f>[1]!'ai[169].LL.V'</f>
        <v>0</v>
      </c>
      <c r="BE173" s="207">
        <f>[1]!'ai[169].LL.fix'</f>
        <v>0</v>
      </c>
      <c r="BF173" s="208"/>
      <c r="BG173" s="207">
        <f>[1]!'ai[169].HH.EN'</f>
        <v>0</v>
      </c>
      <c r="BH173" s="207">
        <f>[1]!'ai[169].HH.V'</f>
        <v>0</v>
      </c>
      <c r="BI173" s="207">
        <f>[1]!'ai[169].HH.fix'</f>
        <v>0</v>
      </c>
      <c r="BJ173" s="209"/>
      <c r="BK173" s="207">
        <f>[1]!'ai[169].group'</f>
        <v>4</v>
      </c>
      <c r="BL173" s="207">
        <f>[1]!'ai[169].state'</f>
        <v>4</v>
      </c>
      <c r="BM173" s="207">
        <f>[1]!'ai[169].isInvScale'</f>
        <v>0</v>
      </c>
    </row>
    <row r="174" spans="1:65">
      <c r="A174" s="445"/>
      <c r="B174" s="446"/>
      <c r="C174" s="221">
        <v>10</v>
      </c>
      <c r="D174" s="221">
        <v>10</v>
      </c>
      <c r="E174" s="222" t="s">
        <v>386</v>
      </c>
      <c r="F174" s="222" t="s">
        <v>387</v>
      </c>
      <c r="G174" s="207">
        <f>[1]!'ai[170].ZL'</f>
        <v>0</v>
      </c>
      <c r="H174" s="207">
        <f>[1]!'ai[170].ZH'</f>
        <v>300</v>
      </c>
      <c r="I174" s="221" t="s">
        <v>366</v>
      </c>
      <c r="J174" s="207">
        <f>[1]!'ai[170].RL.V'</f>
        <v>160</v>
      </c>
      <c r="K174" s="207">
        <f>[1]!'ai[170].RH.V'</f>
        <v>170</v>
      </c>
      <c r="L174" s="207">
        <f>[1]!'ai[170].L.V'</f>
        <v>0</v>
      </c>
      <c r="M174" s="207">
        <f>[1]!'ai[170].H.V'</f>
        <v>0</v>
      </c>
      <c r="N174" s="207">
        <f>[1]!'ai[170].LL.V'</f>
        <v>0</v>
      </c>
      <c r="O174" s="207">
        <f>[1]!'ai[170].HH.V'</f>
        <v>0</v>
      </c>
      <c r="P174" s="223">
        <v>4</v>
      </c>
      <c r="Q174" s="224">
        <v>3</v>
      </c>
      <c r="R174" s="184"/>
      <c r="T174" s="207">
        <f>[1]!'ai[170].group'</f>
        <v>4</v>
      </c>
      <c r="X174" s="207">
        <f>[1]!'ai[170].EN'</f>
        <v>1</v>
      </c>
      <c r="Y174" s="207">
        <f>[1]!'ai[170].i'</f>
        <v>1.8844599999999999E-3</v>
      </c>
      <c r="Z174" s="207">
        <f>[1]!'ai[170].isForce'</f>
        <v>0</v>
      </c>
      <c r="AA174" s="207" t="e">
        <f>[1]!'ai[170].vRaw'</f>
        <v>#REF!</v>
      </c>
      <c r="AB174" s="207">
        <f>[1]!'ai[170].isCorrect'</f>
        <v>0</v>
      </c>
      <c r="AC174" s="207" t="e">
        <f>[1]!'ai[170].vCorrect'</f>
        <v>#REF!</v>
      </c>
      <c r="AD174" s="207">
        <f>[1]!'ai[170].v'</f>
        <v>0</v>
      </c>
      <c r="AE174" s="207" t="e">
        <f>[1]!'ai[170].isCut'</f>
        <v>#REF!</v>
      </c>
      <c r="AF174" s="207" t="e">
        <f>[1]!'ai[170].vCut'</f>
        <v>#REF!</v>
      </c>
      <c r="AG174" s="208"/>
      <c r="AH174" s="207">
        <f>[1]!'ai[170].break.sgn'</f>
        <v>1</v>
      </c>
      <c r="AI174" s="208"/>
      <c r="AJ174" s="207">
        <f>[1]!'ai[170].ZL'</f>
        <v>0</v>
      </c>
      <c r="AK174" s="207">
        <f>[1]!'ai[170].ZH'</f>
        <v>300</v>
      </c>
      <c r="AL174" s="208"/>
      <c r="AM174" s="207">
        <f>[1]!'ai[170].RL.EN'</f>
        <v>1</v>
      </c>
      <c r="AN174" s="207">
        <f>[1]!'ai[170].RL.V'</f>
        <v>160</v>
      </c>
      <c r="AO174" s="207">
        <f>[1]!'ai[170].RL.fix'</f>
        <v>0</v>
      </c>
      <c r="AP174" s="208"/>
      <c r="AQ174" s="207">
        <f>[1]!'ai[170].RH.EN'</f>
        <v>1</v>
      </c>
      <c r="AR174" s="207">
        <f>[1]!'ai[170].RH.V'</f>
        <v>170</v>
      </c>
      <c r="AS174" s="207">
        <f>[1]!'ai[170].RH.fix'</f>
        <v>0</v>
      </c>
      <c r="AT174" s="208"/>
      <c r="AU174" s="207">
        <f>[1]!'ai[170].L.EN'</f>
        <v>0</v>
      </c>
      <c r="AV174" s="207">
        <f>[1]!'ai[170].L.V'</f>
        <v>0</v>
      </c>
      <c r="AW174" s="207">
        <f>[1]!'ai[170].L.fix'</f>
        <v>0</v>
      </c>
      <c r="AX174" s="208"/>
      <c r="AY174" s="207">
        <f>[1]!'ai[170].H.EN'</f>
        <v>0</v>
      </c>
      <c r="AZ174" s="207">
        <f>[1]!'ai[170].H.V'</f>
        <v>0</v>
      </c>
      <c r="BA174" s="207">
        <f>[1]!'ai[170].H.fix'</f>
        <v>0</v>
      </c>
      <c r="BB174" s="208"/>
      <c r="BC174" s="207">
        <f>[1]!'ai[170].LL.EN'</f>
        <v>0</v>
      </c>
      <c r="BD174" s="207">
        <f>[1]!'ai[170].LL.V'</f>
        <v>0</v>
      </c>
      <c r="BE174" s="207">
        <f>[1]!'ai[170].LL.fix'</f>
        <v>0</v>
      </c>
      <c r="BF174" s="208"/>
      <c r="BG174" s="207">
        <f>[1]!'ai[170].HH.EN'</f>
        <v>0</v>
      </c>
      <c r="BH174" s="207">
        <f>[1]!'ai[170].HH.V'</f>
        <v>0</v>
      </c>
      <c r="BI174" s="207">
        <f>[1]!'ai[170].HH.fix'</f>
        <v>0</v>
      </c>
      <c r="BJ174" s="210"/>
      <c r="BK174" s="207">
        <f>[1]!'ai[170].group'</f>
        <v>4</v>
      </c>
      <c r="BL174" s="207">
        <f>[1]!'ai[170].state'</f>
        <v>4</v>
      </c>
      <c r="BM174" s="207">
        <f>[1]!'ai[170].isInvScale'</f>
        <v>0</v>
      </c>
    </row>
    <row r="175" spans="1:65">
      <c r="A175" s="445"/>
      <c r="B175" s="446"/>
      <c r="C175" s="221">
        <v>11</v>
      </c>
      <c r="D175" s="221">
        <v>11</v>
      </c>
      <c r="E175" s="222" t="s">
        <v>388</v>
      </c>
      <c r="F175" s="222" t="s">
        <v>389</v>
      </c>
      <c r="G175" s="207">
        <f>[1]!'ai[171].ZL'</f>
        <v>0</v>
      </c>
      <c r="H175" s="207">
        <f>[1]!'ai[171].ZH'</f>
        <v>300</v>
      </c>
      <c r="I175" s="221" t="s">
        <v>366</v>
      </c>
      <c r="J175" s="207">
        <f>[1]!'ai[171].RL.V'</f>
        <v>160</v>
      </c>
      <c r="K175" s="207">
        <f>[1]!'ai[171].RH.V'</f>
        <v>170</v>
      </c>
      <c r="L175" s="207">
        <f>[1]!'ai[171].L.V'</f>
        <v>0</v>
      </c>
      <c r="M175" s="207">
        <f>[1]!'ai[171].H.V'</f>
        <v>0</v>
      </c>
      <c r="N175" s="207">
        <f>[1]!'ai[171].LL.V'</f>
        <v>0</v>
      </c>
      <c r="O175" s="207">
        <f>[1]!'ai[171].HH.V'</f>
        <v>0</v>
      </c>
      <c r="P175" s="223">
        <v>4</v>
      </c>
      <c r="Q175" s="224">
        <v>3</v>
      </c>
      <c r="R175" s="184"/>
      <c r="T175" s="207">
        <f>[1]!'ai[171].group'</f>
        <v>4</v>
      </c>
      <c r="X175" s="207">
        <f>[1]!'ai[171].EN'</f>
        <v>1</v>
      </c>
      <c r="Y175" s="207">
        <f>[1]!'ai[171].i'</f>
        <v>1.8844599999999999E-3</v>
      </c>
      <c r="Z175" s="207">
        <f>[1]!'ai[171].isForce'</f>
        <v>0</v>
      </c>
      <c r="AA175" s="207" t="e">
        <f>[1]!'ai[171].vRaw'</f>
        <v>#REF!</v>
      </c>
      <c r="AB175" s="207">
        <f>[1]!'ai[171].isCorrect'</f>
        <v>0</v>
      </c>
      <c r="AC175" s="207" t="e">
        <f>[1]!'ai[171].vCorrect'</f>
        <v>#REF!</v>
      </c>
      <c r="AD175" s="207">
        <f>[1]!'ai[171].v'</f>
        <v>0</v>
      </c>
      <c r="AE175" s="207" t="e">
        <f>[1]!'ai[171].isCut'</f>
        <v>#REF!</v>
      </c>
      <c r="AF175" s="207" t="e">
        <f>[1]!'ai[171].vCut'</f>
        <v>#REF!</v>
      </c>
      <c r="AG175" s="208"/>
      <c r="AH175" s="207">
        <f>[1]!'ai[171].break.sgn'</f>
        <v>1</v>
      </c>
      <c r="AI175" s="208"/>
      <c r="AJ175" s="207">
        <f>[1]!'ai[171].ZL'</f>
        <v>0</v>
      </c>
      <c r="AK175" s="207">
        <f>[1]!'ai[171].ZH'</f>
        <v>300</v>
      </c>
      <c r="AL175" s="208"/>
      <c r="AM175" s="207">
        <f>[1]!'ai[171].RL.EN'</f>
        <v>1</v>
      </c>
      <c r="AN175" s="207">
        <f>[1]!'ai[171].RL.V'</f>
        <v>160</v>
      </c>
      <c r="AO175" s="207">
        <f>[1]!'ai[171].RL.fix'</f>
        <v>0</v>
      </c>
      <c r="AP175" s="208"/>
      <c r="AQ175" s="207">
        <f>[1]!'ai[171].RH.EN'</f>
        <v>1</v>
      </c>
      <c r="AR175" s="207">
        <f>[1]!'ai[171].RH.V'</f>
        <v>170</v>
      </c>
      <c r="AS175" s="207">
        <f>[1]!'ai[171].RH.fix'</f>
        <v>0</v>
      </c>
      <c r="AT175" s="208"/>
      <c r="AU175" s="207">
        <f>[1]!'ai[171].L.EN'</f>
        <v>0</v>
      </c>
      <c r="AV175" s="207">
        <f>[1]!'ai[171].L.V'</f>
        <v>0</v>
      </c>
      <c r="AW175" s="207">
        <f>[1]!'ai[171].L.fix'</f>
        <v>0</v>
      </c>
      <c r="AX175" s="208"/>
      <c r="AY175" s="207">
        <f>[1]!'ai[171].H.EN'</f>
        <v>0</v>
      </c>
      <c r="AZ175" s="207">
        <f>[1]!'ai[171].H.V'</f>
        <v>0</v>
      </c>
      <c r="BA175" s="207">
        <f>[1]!'ai[171].H.fix'</f>
        <v>0</v>
      </c>
      <c r="BB175" s="208"/>
      <c r="BC175" s="207">
        <f>[1]!'ai[171].LL.EN'</f>
        <v>0</v>
      </c>
      <c r="BD175" s="207">
        <f>[1]!'ai[171].LL.V'</f>
        <v>0</v>
      </c>
      <c r="BE175" s="207">
        <f>[1]!'ai[171].LL.fix'</f>
        <v>0</v>
      </c>
      <c r="BF175" s="208"/>
      <c r="BG175" s="207">
        <f>[1]!'ai[171].HH.EN'</f>
        <v>0</v>
      </c>
      <c r="BH175" s="207">
        <f>[1]!'ai[171].HH.V'</f>
        <v>0</v>
      </c>
      <c r="BI175" s="207">
        <f>[1]!'ai[171].HH.fix'</f>
        <v>0</v>
      </c>
      <c r="BJ175" s="210"/>
      <c r="BK175" s="207">
        <f>[1]!'ai[171].group'</f>
        <v>4</v>
      </c>
      <c r="BL175" s="207">
        <f>[1]!'ai[171].state'</f>
        <v>4</v>
      </c>
      <c r="BM175" s="207">
        <f>[1]!'ai[171].isInvScale'</f>
        <v>0</v>
      </c>
    </row>
    <row r="176" spans="1:65">
      <c r="A176" s="445"/>
      <c r="B176" s="446"/>
      <c r="C176" s="221">
        <v>12</v>
      </c>
      <c r="D176" s="221">
        <v>12</v>
      </c>
      <c r="E176" s="222" t="s">
        <v>390</v>
      </c>
      <c r="F176" s="222" t="s">
        <v>391</v>
      </c>
      <c r="G176" s="207">
        <f>[1]!'ai[172].ZL'</f>
        <v>0</v>
      </c>
      <c r="H176" s="207">
        <f>[1]!'ai[172].ZH'</f>
        <v>300</v>
      </c>
      <c r="I176" s="221" t="s">
        <v>366</v>
      </c>
      <c r="J176" s="207">
        <f>[1]!'ai[172].RL.V'</f>
        <v>0</v>
      </c>
      <c r="K176" s="207">
        <f>[1]!'ai[172].RH.V'</f>
        <v>240</v>
      </c>
      <c r="L176" s="207">
        <f>[1]!'ai[172].L.V'</f>
        <v>0</v>
      </c>
      <c r="M176" s="207">
        <f>[1]!'ai[172].H.V'</f>
        <v>0</v>
      </c>
      <c r="N176" s="207">
        <f>[1]!'ai[172].LL.V'</f>
        <v>0</v>
      </c>
      <c r="O176" s="207">
        <f>[1]!'ai[172].HH.V'</f>
        <v>0</v>
      </c>
      <c r="P176" s="223">
        <v>4</v>
      </c>
      <c r="Q176" s="224">
        <v>3</v>
      </c>
      <c r="R176" s="184"/>
      <c r="T176" s="207">
        <f>[1]!'ai[172].group'</f>
        <v>4</v>
      </c>
      <c r="X176" s="207">
        <f>[1]!'ai[172].EN'</f>
        <v>1</v>
      </c>
      <c r="Y176" s="207">
        <f>[1]!'ai[172].i'</f>
        <v>1.570702E-3</v>
      </c>
      <c r="Z176" s="207">
        <f>[1]!'ai[172].isForce'</f>
        <v>0</v>
      </c>
      <c r="AA176" s="207" t="e">
        <f>[1]!'ai[172].vRaw'</f>
        <v>#REF!</v>
      </c>
      <c r="AB176" s="207">
        <f>[1]!'ai[172].isCorrect'</f>
        <v>0</v>
      </c>
      <c r="AC176" s="207" t="e">
        <f>[1]!'ai[172].vCorrect'</f>
        <v>#REF!</v>
      </c>
      <c r="AD176" s="207">
        <f>[1]!'ai[172].v'</f>
        <v>0</v>
      </c>
      <c r="AE176" s="207" t="e">
        <f>[1]!'ai[172].isCut'</f>
        <v>#REF!</v>
      </c>
      <c r="AF176" s="207" t="e">
        <f>[1]!'ai[172].vCut'</f>
        <v>#REF!</v>
      </c>
      <c r="AG176" s="208"/>
      <c r="AH176" s="207">
        <f>[1]!'ai[172].break.sgn'</f>
        <v>1</v>
      </c>
      <c r="AI176" s="208"/>
      <c r="AJ176" s="207">
        <f>[1]!'ai[172].ZL'</f>
        <v>0</v>
      </c>
      <c r="AK176" s="207">
        <f>[1]!'ai[172].ZH'</f>
        <v>300</v>
      </c>
      <c r="AL176" s="208"/>
      <c r="AM176" s="207">
        <f>[1]!'ai[172].RL.EN'</f>
        <v>1</v>
      </c>
      <c r="AN176" s="207">
        <f>[1]!'ai[172].RL.V'</f>
        <v>0</v>
      </c>
      <c r="AO176" s="207">
        <f>[1]!'ai[172].RL.fix'</f>
        <v>0</v>
      </c>
      <c r="AP176" s="208"/>
      <c r="AQ176" s="207">
        <f>[1]!'ai[172].RH.EN'</f>
        <v>1</v>
      </c>
      <c r="AR176" s="207">
        <f>[1]!'ai[172].RH.V'</f>
        <v>240</v>
      </c>
      <c r="AS176" s="207">
        <f>[1]!'ai[172].RH.fix'</f>
        <v>0</v>
      </c>
      <c r="AT176" s="208"/>
      <c r="AU176" s="207">
        <f>[1]!'ai[172].L.EN'</f>
        <v>0</v>
      </c>
      <c r="AV176" s="207">
        <f>[1]!'ai[172].L.V'</f>
        <v>0</v>
      </c>
      <c r="AW176" s="207">
        <f>[1]!'ai[172].L.fix'</f>
        <v>0</v>
      </c>
      <c r="AX176" s="208"/>
      <c r="AY176" s="207">
        <f>[1]!'ai[172].H.EN'</f>
        <v>0</v>
      </c>
      <c r="AZ176" s="207">
        <f>[1]!'ai[172].H.V'</f>
        <v>0</v>
      </c>
      <c r="BA176" s="207">
        <f>[1]!'ai[172].H.fix'</f>
        <v>0</v>
      </c>
      <c r="BB176" s="208"/>
      <c r="BC176" s="207">
        <f>[1]!'ai[172].LL.EN'</f>
        <v>0</v>
      </c>
      <c r="BD176" s="207">
        <f>[1]!'ai[172].LL.V'</f>
        <v>0</v>
      </c>
      <c r="BE176" s="207">
        <f>[1]!'ai[172].LL.fix'</f>
        <v>0</v>
      </c>
      <c r="BF176" s="208"/>
      <c r="BG176" s="207">
        <f>[1]!'ai[172].HH.EN'</f>
        <v>0</v>
      </c>
      <c r="BH176" s="207">
        <f>[1]!'ai[172].HH.V'</f>
        <v>0</v>
      </c>
      <c r="BI176" s="207">
        <f>[1]!'ai[172].HH.fix'</f>
        <v>0</v>
      </c>
      <c r="BJ176" s="210"/>
      <c r="BK176" s="207">
        <f>[1]!'ai[172].group'</f>
        <v>4</v>
      </c>
      <c r="BL176" s="207">
        <f>[1]!'ai[172].state'</f>
        <v>4</v>
      </c>
      <c r="BM176" s="207">
        <f>[1]!'ai[172].isInvScale'</f>
        <v>0</v>
      </c>
    </row>
    <row r="177" spans="1:65">
      <c r="A177" s="445"/>
      <c r="B177" s="446"/>
      <c r="C177" s="221">
        <v>13</v>
      </c>
      <c r="D177" s="221">
        <v>13</v>
      </c>
      <c r="E177" s="222" t="s">
        <v>392</v>
      </c>
      <c r="F177" s="222" t="s">
        <v>393</v>
      </c>
      <c r="G177" s="207">
        <f>[1]!'ai[173].ZL'</f>
        <v>0</v>
      </c>
      <c r="H177" s="207">
        <f>[1]!'ai[173].ZH'</f>
        <v>0</v>
      </c>
      <c r="I177" s="221" t="s">
        <v>366</v>
      </c>
      <c r="J177" s="207">
        <f>[1]!'ai[173].RL.V'</f>
        <v>0</v>
      </c>
      <c r="K177" s="207">
        <f>[1]!'ai[173].RH.V'</f>
        <v>0</v>
      </c>
      <c r="L177" s="207">
        <f>[1]!'ai[173].L.V'</f>
        <v>0</v>
      </c>
      <c r="M177" s="207">
        <f>[1]!'ai[173].H.V'</f>
        <v>0</v>
      </c>
      <c r="N177" s="207">
        <f>[1]!'ai[173].LL.V'</f>
        <v>0</v>
      </c>
      <c r="O177" s="207">
        <f>[1]!'ai[173].HH.V'</f>
        <v>0</v>
      </c>
      <c r="P177" s="223">
        <v>4</v>
      </c>
      <c r="Q177" s="224">
        <v>3</v>
      </c>
      <c r="R177" s="184"/>
      <c r="T177" s="207">
        <f>[1]!'ai[173].group'</f>
        <v>4</v>
      </c>
      <c r="X177" s="207">
        <f>[1]!'ai[173].EN'</f>
        <v>0</v>
      </c>
      <c r="Y177" s="207">
        <f>[1]!'ai[173].i'</f>
        <v>0</v>
      </c>
      <c r="Z177" s="207">
        <f>[1]!'ai[173].isForce'</f>
        <v>0</v>
      </c>
      <c r="AA177" s="207" t="e">
        <f>[1]!'ai[173].vRaw'</f>
        <v>#REF!</v>
      </c>
      <c r="AB177" s="207">
        <f>[1]!'ai[173].isCorrect'</f>
        <v>0</v>
      </c>
      <c r="AC177" s="207" t="e">
        <f>[1]!'ai[173].vCorrect'</f>
        <v>#REF!</v>
      </c>
      <c r="AD177" s="207">
        <f>[1]!'ai[173].v'</f>
        <v>0</v>
      </c>
      <c r="AE177" s="207" t="e">
        <f>[1]!'ai[173].isCut'</f>
        <v>#REF!</v>
      </c>
      <c r="AF177" s="207" t="e">
        <f>[1]!'ai[173].vCut'</f>
        <v>#REF!</v>
      </c>
      <c r="AG177" s="208"/>
      <c r="AH177" s="207">
        <f>[1]!'ai[173].break.sgn'</f>
        <v>0</v>
      </c>
      <c r="AI177" s="208"/>
      <c r="AJ177" s="207">
        <f>[1]!'ai[173].ZL'</f>
        <v>0</v>
      </c>
      <c r="AK177" s="207">
        <f>[1]!'ai[173].ZH'</f>
        <v>0</v>
      </c>
      <c r="AL177" s="208"/>
      <c r="AM177" s="207">
        <f>[1]!'ai[173].RL.EN'</f>
        <v>0</v>
      </c>
      <c r="AN177" s="207">
        <f>[1]!'ai[173].RL.V'</f>
        <v>0</v>
      </c>
      <c r="AO177" s="207">
        <f>[1]!'ai[173].RL.fix'</f>
        <v>0</v>
      </c>
      <c r="AP177" s="208"/>
      <c r="AQ177" s="207">
        <f>[1]!'ai[173].RH.EN'</f>
        <v>0</v>
      </c>
      <c r="AR177" s="207">
        <f>[1]!'ai[173].RH.V'</f>
        <v>0</v>
      </c>
      <c r="AS177" s="207">
        <f>[1]!'ai[173].RH.fix'</f>
        <v>0</v>
      </c>
      <c r="AT177" s="208"/>
      <c r="AU177" s="207">
        <f>[1]!'ai[173].L.EN'</f>
        <v>0</v>
      </c>
      <c r="AV177" s="207">
        <f>[1]!'ai[173].L.V'</f>
        <v>0</v>
      </c>
      <c r="AW177" s="207">
        <f>[1]!'ai[173].L.fix'</f>
        <v>0</v>
      </c>
      <c r="AX177" s="208"/>
      <c r="AY177" s="207">
        <f>[1]!'ai[173].H.EN'</f>
        <v>0</v>
      </c>
      <c r="AZ177" s="207">
        <f>[1]!'ai[173].H.V'</f>
        <v>0</v>
      </c>
      <c r="BA177" s="207">
        <f>[1]!'ai[173].H.fix'</f>
        <v>0</v>
      </c>
      <c r="BB177" s="208"/>
      <c r="BC177" s="207">
        <f>[1]!'ai[173].LL.EN'</f>
        <v>0</v>
      </c>
      <c r="BD177" s="207">
        <f>[1]!'ai[173].LL.V'</f>
        <v>0</v>
      </c>
      <c r="BE177" s="207">
        <f>[1]!'ai[173].LL.fix'</f>
        <v>0</v>
      </c>
      <c r="BF177" s="208"/>
      <c r="BG177" s="207">
        <f>[1]!'ai[173].HH.EN'</f>
        <v>0</v>
      </c>
      <c r="BH177" s="207">
        <f>[1]!'ai[173].HH.V'</f>
        <v>0</v>
      </c>
      <c r="BI177" s="207">
        <f>[1]!'ai[173].HH.fix'</f>
        <v>0</v>
      </c>
      <c r="BJ177" s="210"/>
      <c r="BK177" s="207">
        <f>[1]!'ai[173].group'</f>
        <v>4</v>
      </c>
      <c r="BL177" s="207">
        <f>[1]!'ai[173].state'</f>
        <v>4</v>
      </c>
      <c r="BM177" s="207">
        <f>[1]!'ai[173].isInvScale'</f>
        <v>0</v>
      </c>
    </row>
    <row r="178" spans="1:65">
      <c r="A178" s="445"/>
      <c r="B178" s="446"/>
      <c r="C178" s="221">
        <v>14</v>
      </c>
      <c r="D178" s="221">
        <v>14</v>
      </c>
      <c r="E178" s="222" t="s">
        <v>394</v>
      </c>
      <c r="F178" s="222" t="s">
        <v>395</v>
      </c>
      <c r="G178" s="207">
        <f>[1]!'ai[174].ZL'</f>
        <v>0</v>
      </c>
      <c r="H178" s="207">
        <f>[1]!'ai[174].ZH'</f>
        <v>0</v>
      </c>
      <c r="I178" s="221" t="s">
        <v>366</v>
      </c>
      <c r="J178" s="207">
        <f>[1]!'ai[174].RL.V'</f>
        <v>0</v>
      </c>
      <c r="K178" s="207">
        <f>[1]!'ai[174].RH.V'</f>
        <v>0</v>
      </c>
      <c r="L178" s="207">
        <f>[1]!'ai[174].L.V'</f>
        <v>0</v>
      </c>
      <c r="M178" s="207">
        <f>[1]!'ai[174].H.V'</f>
        <v>0</v>
      </c>
      <c r="N178" s="207">
        <f>[1]!'ai[174].LL.V'</f>
        <v>0</v>
      </c>
      <c r="O178" s="207">
        <f>[1]!'ai[174].HH.V'</f>
        <v>0</v>
      </c>
      <c r="P178" s="223">
        <v>4</v>
      </c>
      <c r="Q178" s="224">
        <v>3</v>
      </c>
      <c r="R178" s="184"/>
      <c r="T178" s="207">
        <f>[1]!'ai[174].group'</f>
        <v>4</v>
      </c>
      <c r="X178" s="207">
        <f>[1]!'ai[174].EN'</f>
        <v>0</v>
      </c>
      <c r="Y178" s="207">
        <f>[1]!'ai[174].i'</f>
        <v>0</v>
      </c>
      <c r="Z178" s="207">
        <f>[1]!'ai[174].isForce'</f>
        <v>0</v>
      </c>
      <c r="AA178" s="207" t="e">
        <f>[1]!'ai[174].vRaw'</f>
        <v>#REF!</v>
      </c>
      <c r="AB178" s="207">
        <f>[1]!'ai[174].isCorrect'</f>
        <v>0</v>
      </c>
      <c r="AC178" s="207" t="e">
        <f>[1]!'ai[174].vCorrect'</f>
        <v>#REF!</v>
      </c>
      <c r="AD178" s="207">
        <f>[1]!'ai[174].v'</f>
        <v>0</v>
      </c>
      <c r="AE178" s="207" t="e">
        <f>[1]!'ai[174].isCut'</f>
        <v>#REF!</v>
      </c>
      <c r="AF178" s="207" t="e">
        <f>[1]!'ai[174].vCut'</f>
        <v>#REF!</v>
      </c>
      <c r="AG178" s="208"/>
      <c r="AH178" s="207">
        <f>[1]!'ai[174].break.sgn'</f>
        <v>0</v>
      </c>
      <c r="AI178" s="208"/>
      <c r="AJ178" s="207">
        <f>[1]!'ai[174].ZL'</f>
        <v>0</v>
      </c>
      <c r="AK178" s="207">
        <f>[1]!'ai[174].ZH'</f>
        <v>0</v>
      </c>
      <c r="AL178" s="208"/>
      <c r="AM178" s="207">
        <f>[1]!'ai[174].RL.EN'</f>
        <v>0</v>
      </c>
      <c r="AN178" s="207">
        <f>[1]!'ai[174].RL.V'</f>
        <v>0</v>
      </c>
      <c r="AO178" s="207">
        <f>[1]!'ai[174].RL.fix'</f>
        <v>0</v>
      </c>
      <c r="AP178" s="208"/>
      <c r="AQ178" s="207">
        <f>[1]!'ai[174].RH.EN'</f>
        <v>0</v>
      </c>
      <c r="AR178" s="207">
        <f>[1]!'ai[174].RH.V'</f>
        <v>0</v>
      </c>
      <c r="AS178" s="207">
        <f>[1]!'ai[174].RH.fix'</f>
        <v>0</v>
      </c>
      <c r="AT178" s="208"/>
      <c r="AU178" s="207">
        <f>[1]!'ai[174].L.EN'</f>
        <v>0</v>
      </c>
      <c r="AV178" s="207">
        <f>[1]!'ai[174].L.V'</f>
        <v>0</v>
      </c>
      <c r="AW178" s="207">
        <f>[1]!'ai[174].L.fix'</f>
        <v>0</v>
      </c>
      <c r="AX178" s="208"/>
      <c r="AY178" s="207">
        <f>[1]!'ai[174].H.EN'</f>
        <v>0</v>
      </c>
      <c r="AZ178" s="207">
        <f>[1]!'ai[174].H.V'</f>
        <v>0</v>
      </c>
      <c r="BA178" s="207">
        <f>[1]!'ai[174].H.fix'</f>
        <v>0</v>
      </c>
      <c r="BB178" s="208"/>
      <c r="BC178" s="207">
        <f>[1]!'ai[174].LL.EN'</f>
        <v>0</v>
      </c>
      <c r="BD178" s="207">
        <f>[1]!'ai[174].LL.V'</f>
        <v>0</v>
      </c>
      <c r="BE178" s="207">
        <f>[1]!'ai[174].LL.fix'</f>
        <v>0</v>
      </c>
      <c r="BF178" s="208"/>
      <c r="BG178" s="207">
        <f>[1]!'ai[174].HH.EN'</f>
        <v>0</v>
      </c>
      <c r="BH178" s="207">
        <f>[1]!'ai[174].HH.V'</f>
        <v>0</v>
      </c>
      <c r="BI178" s="207">
        <f>[1]!'ai[174].HH.fix'</f>
        <v>0</v>
      </c>
      <c r="BJ178" s="210"/>
      <c r="BK178" s="207">
        <f>[1]!'ai[174].group'</f>
        <v>4</v>
      </c>
      <c r="BL178" s="207">
        <f>[1]!'ai[174].state'</f>
        <v>4</v>
      </c>
      <c r="BM178" s="207">
        <f>[1]!'ai[174].isInvScale'</f>
        <v>0</v>
      </c>
    </row>
    <row r="179" spans="1:65" ht="15.75" thickBot="1">
      <c r="A179" s="445"/>
      <c r="B179" s="446"/>
      <c r="C179" s="225">
        <v>15</v>
      </c>
      <c r="D179" s="225">
        <v>15</v>
      </c>
      <c r="E179" s="226" t="s">
        <v>396</v>
      </c>
      <c r="F179" s="226" t="s">
        <v>397</v>
      </c>
      <c r="G179" s="207">
        <f>[1]!'ai[175].ZL'</f>
        <v>0</v>
      </c>
      <c r="H179" s="207">
        <f>[1]!'ai[175].ZH'</f>
        <v>0</v>
      </c>
      <c r="I179" s="225" t="s">
        <v>366</v>
      </c>
      <c r="J179" s="207">
        <f>[1]!'ai[175].RL.V'</f>
        <v>0</v>
      </c>
      <c r="K179" s="207">
        <f>[1]!'ai[175].RH.V'</f>
        <v>0</v>
      </c>
      <c r="L179" s="207">
        <f>[1]!'ai[175].L.V'</f>
        <v>0</v>
      </c>
      <c r="M179" s="207">
        <f>[1]!'ai[175].H.V'</f>
        <v>0</v>
      </c>
      <c r="N179" s="207">
        <f>[1]!'ai[175].LL.V'</f>
        <v>0</v>
      </c>
      <c r="O179" s="207">
        <f>[1]!'ai[175].HH.V'</f>
        <v>0</v>
      </c>
      <c r="P179" s="227">
        <v>4</v>
      </c>
      <c r="Q179" s="228">
        <v>3</v>
      </c>
      <c r="R179" s="190"/>
      <c r="T179" s="207">
        <f>[1]!'ai[175].group'</f>
        <v>4</v>
      </c>
      <c r="X179" s="207">
        <f>[1]!'ai[175].EN'</f>
        <v>0</v>
      </c>
      <c r="Y179" s="207">
        <f>[1]!'ai[175].i'</f>
        <v>0</v>
      </c>
      <c r="Z179" s="207">
        <f>[1]!'ai[175].isForce'</f>
        <v>0</v>
      </c>
      <c r="AA179" s="207" t="e">
        <f>[1]!'ai[175].vRaw'</f>
        <v>#REF!</v>
      </c>
      <c r="AB179" s="207">
        <f>[1]!'ai[175].isCorrect'</f>
        <v>0</v>
      </c>
      <c r="AC179" s="207" t="e">
        <f>[1]!'ai[175].vCorrect'</f>
        <v>#REF!</v>
      </c>
      <c r="AD179" s="207">
        <f>[1]!'ai[175].v'</f>
        <v>0</v>
      </c>
      <c r="AE179" s="207" t="e">
        <f>[1]!'ai[175].isCut'</f>
        <v>#REF!</v>
      </c>
      <c r="AF179" s="207" t="e">
        <f>[1]!'ai[175].vCut'</f>
        <v>#REF!</v>
      </c>
      <c r="AG179" s="208"/>
      <c r="AH179" s="207">
        <f>[1]!'ai[175].break.sgn'</f>
        <v>0</v>
      </c>
      <c r="AI179" s="208"/>
      <c r="AJ179" s="207">
        <f>[1]!'ai[175].ZL'</f>
        <v>0</v>
      </c>
      <c r="AK179" s="207">
        <f>[1]!'ai[175].ZH'</f>
        <v>0</v>
      </c>
      <c r="AL179" s="208"/>
      <c r="AM179" s="207">
        <f>[1]!'ai[175].RL.EN'</f>
        <v>0</v>
      </c>
      <c r="AN179" s="207">
        <f>[1]!'ai[175].RL.V'</f>
        <v>0</v>
      </c>
      <c r="AO179" s="207">
        <f>[1]!'ai[175].RL.fix'</f>
        <v>0</v>
      </c>
      <c r="AP179" s="208"/>
      <c r="AQ179" s="207">
        <f>[1]!'ai[175].RH.EN'</f>
        <v>0</v>
      </c>
      <c r="AR179" s="207">
        <f>[1]!'ai[175].RH.V'</f>
        <v>0</v>
      </c>
      <c r="AS179" s="207">
        <f>[1]!'ai[175].RH.fix'</f>
        <v>0</v>
      </c>
      <c r="AT179" s="208"/>
      <c r="AU179" s="207">
        <f>[1]!'ai[175].L.EN'</f>
        <v>0</v>
      </c>
      <c r="AV179" s="207">
        <f>[1]!'ai[175].L.V'</f>
        <v>0</v>
      </c>
      <c r="AW179" s="207">
        <f>[1]!'ai[175].L.fix'</f>
        <v>0</v>
      </c>
      <c r="AX179" s="208"/>
      <c r="AY179" s="207">
        <f>[1]!'ai[175].H.EN'</f>
        <v>0</v>
      </c>
      <c r="AZ179" s="207">
        <f>[1]!'ai[175].H.V'</f>
        <v>0</v>
      </c>
      <c r="BA179" s="207">
        <f>[1]!'ai[175].H.fix'</f>
        <v>0</v>
      </c>
      <c r="BB179" s="208"/>
      <c r="BC179" s="207">
        <f>[1]!'ai[175].LL.EN'</f>
        <v>0</v>
      </c>
      <c r="BD179" s="207">
        <f>[1]!'ai[175].LL.V'</f>
        <v>0</v>
      </c>
      <c r="BE179" s="207">
        <f>[1]!'ai[175].LL.fix'</f>
        <v>0</v>
      </c>
      <c r="BF179" s="208"/>
      <c r="BG179" s="207">
        <f>[1]!'ai[175].HH.EN'</f>
        <v>0</v>
      </c>
      <c r="BH179" s="207">
        <f>[1]!'ai[175].HH.V'</f>
        <v>0</v>
      </c>
      <c r="BI179" s="207">
        <f>[1]!'ai[175].HH.fix'</f>
        <v>0</v>
      </c>
      <c r="BJ179" s="210"/>
      <c r="BK179" s="207">
        <f>[1]!'ai[175].group'</f>
        <v>4</v>
      </c>
      <c r="BL179" s="207">
        <f>[1]!'ai[175].state'</f>
        <v>4</v>
      </c>
      <c r="BM179" s="207">
        <f>[1]!'ai[175].isInvScale'</f>
        <v>0</v>
      </c>
    </row>
    <row r="180" spans="1:65">
      <c r="A180" s="445" t="s">
        <v>36</v>
      </c>
      <c r="B180" s="446">
        <v>3</v>
      </c>
      <c r="C180" s="216">
        <v>0</v>
      </c>
      <c r="D180" s="216">
        <v>0</v>
      </c>
      <c r="E180" s="217" t="s">
        <v>364</v>
      </c>
      <c r="F180" s="217" t="s">
        <v>365</v>
      </c>
      <c r="G180" s="207">
        <f>[1]!'ai[176].ZL'</f>
        <v>0</v>
      </c>
      <c r="H180" s="207">
        <f>[1]!'ai[176].ZH'</f>
        <v>300</v>
      </c>
      <c r="I180" s="216" t="s">
        <v>366</v>
      </c>
      <c r="J180" s="207">
        <f>[1]!'ai[176].RL.V'</f>
        <v>130</v>
      </c>
      <c r="K180" s="207">
        <f>[1]!'ai[176].RH.V'</f>
        <v>280</v>
      </c>
      <c r="L180" s="207">
        <f>[1]!'ai[176].L.V'</f>
        <v>0</v>
      </c>
      <c r="M180" s="207">
        <f>[1]!'ai[176].H.V'</f>
        <v>0</v>
      </c>
      <c r="N180" s="207">
        <f>[1]!'ai[176].LL.V'</f>
        <v>0</v>
      </c>
      <c r="O180" s="207">
        <f>[1]!'ai[176].HH.V'</f>
        <v>0</v>
      </c>
      <c r="P180" s="218">
        <v>1</v>
      </c>
      <c r="Q180" s="219">
        <v>0</v>
      </c>
      <c r="R180" s="220"/>
      <c r="T180" s="207">
        <f>[1]!'ai[176].group'</f>
        <v>4</v>
      </c>
      <c r="X180" s="207">
        <f>[1]!'ai[176].EN'</f>
        <v>1</v>
      </c>
      <c r="Y180" s="207">
        <f>[1]!'ai[176].i'</f>
        <v>3.1404499999999999E-3</v>
      </c>
      <c r="Z180" s="207">
        <f>[1]!'ai[176].isForce'</f>
        <v>0</v>
      </c>
      <c r="AA180" s="207" t="e">
        <f>[1]!'ai[176].vRaw'</f>
        <v>#REF!</v>
      </c>
      <c r="AB180" s="207">
        <f>[1]!'ai[176].isCorrect'</f>
        <v>0</v>
      </c>
      <c r="AC180" s="207" t="e">
        <f>[1]!'ai[176].vCorrect'</f>
        <v>#REF!</v>
      </c>
      <c r="AD180" s="207">
        <f>[1]!'ai[176].v'</f>
        <v>0</v>
      </c>
      <c r="AE180" s="207" t="e">
        <f>[1]!'ai[176].isCut'</f>
        <v>#REF!</v>
      </c>
      <c r="AF180" s="207" t="e">
        <f>[1]!'ai[176].vCut'</f>
        <v>#REF!</v>
      </c>
      <c r="AG180" s="208"/>
      <c r="AH180" s="207">
        <f>[1]!'ai[176].break.sgn'</f>
        <v>1</v>
      </c>
      <c r="AI180" s="208"/>
      <c r="AJ180" s="207">
        <f>[1]!'ai[176].ZL'</f>
        <v>0</v>
      </c>
      <c r="AK180" s="207">
        <f>[1]!'ai[176].ZH'</f>
        <v>300</v>
      </c>
      <c r="AL180" s="208"/>
      <c r="AM180" s="207">
        <f>[1]!'ai[176].RL.EN'</f>
        <v>1</v>
      </c>
      <c r="AN180" s="207">
        <f>[1]!'ai[176].RL.V'</f>
        <v>130</v>
      </c>
      <c r="AO180" s="207">
        <f>[1]!'ai[176].RL.fix'</f>
        <v>0</v>
      </c>
      <c r="AP180" s="208"/>
      <c r="AQ180" s="207">
        <f>[1]!'ai[176].RH.EN'</f>
        <v>1</v>
      </c>
      <c r="AR180" s="207">
        <f>[1]!'ai[176].RH.V'</f>
        <v>280</v>
      </c>
      <c r="AS180" s="207">
        <f>[1]!'ai[176].RH.fix'</f>
        <v>0</v>
      </c>
      <c r="AT180" s="208"/>
      <c r="AU180" s="207">
        <f>[1]!'ai[176].L.EN'</f>
        <v>0</v>
      </c>
      <c r="AV180" s="207">
        <f>[1]!'ai[176].L.V'</f>
        <v>0</v>
      </c>
      <c r="AW180" s="207">
        <f>[1]!'ai[176].L.fix'</f>
        <v>0</v>
      </c>
      <c r="AX180" s="208"/>
      <c r="AY180" s="207">
        <f>[1]!'ai[176].H.EN'</f>
        <v>0</v>
      </c>
      <c r="AZ180" s="207">
        <f>[1]!'ai[176].H.V'</f>
        <v>0</v>
      </c>
      <c r="BA180" s="207">
        <f>[1]!'ai[176].H.fix'</f>
        <v>0</v>
      </c>
      <c r="BB180" s="208"/>
      <c r="BC180" s="207">
        <f>[1]!'ai[176].LL.EN'</f>
        <v>0</v>
      </c>
      <c r="BD180" s="207">
        <f>[1]!'ai[176].LL.V'</f>
        <v>0</v>
      </c>
      <c r="BE180" s="207">
        <f>[1]!'ai[176].LL.fix'</f>
        <v>0</v>
      </c>
      <c r="BF180" s="208"/>
      <c r="BG180" s="207">
        <f>[1]!'ai[176].HH.EN'</f>
        <v>0</v>
      </c>
      <c r="BH180" s="207">
        <f>[1]!'ai[176].HH.V'</f>
        <v>0</v>
      </c>
      <c r="BI180" s="207">
        <f>[1]!'ai[176].HH.fix'</f>
        <v>0</v>
      </c>
      <c r="BJ180" s="209"/>
      <c r="BK180" s="207">
        <f>[1]!'ai[176].group'</f>
        <v>4</v>
      </c>
      <c r="BL180" s="207">
        <f>[1]!'ai[176].state'</f>
        <v>4</v>
      </c>
      <c r="BM180" s="207">
        <f>[1]!'ai[176].isInvScale'</f>
        <v>0</v>
      </c>
    </row>
    <row r="181" spans="1:65">
      <c r="A181" s="445"/>
      <c r="B181" s="446"/>
      <c r="C181" s="221">
        <v>1</v>
      </c>
      <c r="D181" s="221">
        <v>1</v>
      </c>
      <c r="E181" s="222" t="s">
        <v>367</v>
      </c>
      <c r="F181" s="222" t="s">
        <v>368</v>
      </c>
      <c r="G181" s="207">
        <f>[1]!'ai[177].ZL'</f>
        <v>0</v>
      </c>
      <c r="H181" s="207">
        <f>[1]!'ai[177].ZH'</f>
        <v>300</v>
      </c>
      <c r="I181" s="221" t="s">
        <v>366</v>
      </c>
      <c r="J181" s="207">
        <f>[1]!'ai[177].RL.V'</f>
        <v>130</v>
      </c>
      <c r="K181" s="207">
        <f>[1]!'ai[177].RH.V'</f>
        <v>270</v>
      </c>
      <c r="L181" s="207">
        <f>[1]!'ai[177].L.V'</f>
        <v>0</v>
      </c>
      <c r="M181" s="207">
        <f>[1]!'ai[177].H.V'</f>
        <v>0</v>
      </c>
      <c r="N181" s="207">
        <f>[1]!'ai[177].LL.V'</f>
        <v>0</v>
      </c>
      <c r="O181" s="207">
        <f>[1]!'ai[177].HH.V'</f>
        <v>0</v>
      </c>
      <c r="P181" s="223">
        <v>1</v>
      </c>
      <c r="Q181" s="224">
        <v>0</v>
      </c>
      <c r="R181" s="184"/>
      <c r="T181" s="207">
        <f>[1]!'ai[177].group'</f>
        <v>4</v>
      </c>
      <c r="X181" s="207">
        <f>[1]!'ai[177].EN'</f>
        <v>1</v>
      </c>
      <c r="Y181" s="207">
        <f>[1]!'ai[177].i'</f>
        <v>3.4551619999999999E-3</v>
      </c>
      <c r="Z181" s="207">
        <f>[1]!'ai[177].isForce'</f>
        <v>0</v>
      </c>
      <c r="AA181" s="207" t="e">
        <f>[1]!'ai[177].vRaw'</f>
        <v>#REF!</v>
      </c>
      <c r="AB181" s="207">
        <f>[1]!'ai[177].isCorrect'</f>
        <v>0</v>
      </c>
      <c r="AC181" s="207" t="e">
        <f>[1]!'ai[177].vCorrect'</f>
        <v>#REF!</v>
      </c>
      <c r="AD181" s="207">
        <f>[1]!'ai[177].v'</f>
        <v>0</v>
      </c>
      <c r="AE181" s="207" t="e">
        <f>[1]!'ai[177].isCut'</f>
        <v>#REF!</v>
      </c>
      <c r="AF181" s="207" t="e">
        <f>[1]!'ai[177].vCut'</f>
        <v>#REF!</v>
      </c>
      <c r="AG181" s="208"/>
      <c r="AH181" s="207">
        <f>[1]!'ai[177].break.sgn'</f>
        <v>1</v>
      </c>
      <c r="AI181" s="208"/>
      <c r="AJ181" s="207">
        <f>[1]!'ai[177].ZL'</f>
        <v>0</v>
      </c>
      <c r="AK181" s="207">
        <f>[1]!'ai[177].ZH'</f>
        <v>300</v>
      </c>
      <c r="AL181" s="208"/>
      <c r="AM181" s="207">
        <f>[1]!'ai[177].RL.EN'</f>
        <v>1</v>
      </c>
      <c r="AN181" s="207">
        <f>[1]!'ai[177].RL.V'</f>
        <v>130</v>
      </c>
      <c r="AO181" s="207">
        <f>[1]!'ai[177].RL.fix'</f>
        <v>0</v>
      </c>
      <c r="AP181" s="208"/>
      <c r="AQ181" s="207">
        <f>[1]!'ai[177].RH.EN'</f>
        <v>1</v>
      </c>
      <c r="AR181" s="207">
        <f>[1]!'ai[177].RH.V'</f>
        <v>270</v>
      </c>
      <c r="AS181" s="207">
        <f>[1]!'ai[177].RH.fix'</f>
        <v>0</v>
      </c>
      <c r="AT181" s="208"/>
      <c r="AU181" s="207">
        <f>[1]!'ai[177].L.EN'</f>
        <v>0</v>
      </c>
      <c r="AV181" s="207">
        <f>[1]!'ai[177].L.V'</f>
        <v>0</v>
      </c>
      <c r="AW181" s="207">
        <f>[1]!'ai[177].L.fix'</f>
        <v>0</v>
      </c>
      <c r="AX181" s="208"/>
      <c r="AY181" s="207">
        <f>[1]!'ai[177].H.EN'</f>
        <v>0</v>
      </c>
      <c r="AZ181" s="207">
        <f>[1]!'ai[177].H.V'</f>
        <v>0</v>
      </c>
      <c r="BA181" s="207">
        <f>[1]!'ai[177].H.fix'</f>
        <v>0</v>
      </c>
      <c r="BB181" s="208"/>
      <c r="BC181" s="207">
        <f>[1]!'ai[177].LL.EN'</f>
        <v>0</v>
      </c>
      <c r="BD181" s="207">
        <f>[1]!'ai[177].LL.V'</f>
        <v>0</v>
      </c>
      <c r="BE181" s="207">
        <f>[1]!'ai[177].LL.fix'</f>
        <v>0</v>
      </c>
      <c r="BF181" s="208"/>
      <c r="BG181" s="207">
        <f>[1]!'ai[177].HH.EN'</f>
        <v>0</v>
      </c>
      <c r="BH181" s="207">
        <f>[1]!'ai[177].HH.V'</f>
        <v>0</v>
      </c>
      <c r="BI181" s="207">
        <f>[1]!'ai[177].HH.fix'</f>
        <v>0</v>
      </c>
      <c r="BJ181" s="209"/>
      <c r="BK181" s="207">
        <f>[1]!'ai[177].group'</f>
        <v>4</v>
      </c>
      <c r="BL181" s="207">
        <f>[1]!'ai[177].state'</f>
        <v>4</v>
      </c>
      <c r="BM181" s="207">
        <f>[1]!'ai[177].isInvScale'</f>
        <v>0</v>
      </c>
    </row>
    <row r="182" spans="1:65">
      <c r="A182" s="445"/>
      <c r="B182" s="446"/>
      <c r="C182" s="221">
        <v>2</v>
      </c>
      <c r="D182" s="221">
        <v>2</v>
      </c>
      <c r="E182" s="222" t="s">
        <v>369</v>
      </c>
      <c r="F182" s="222" t="s">
        <v>370</v>
      </c>
      <c r="G182" s="207">
        <f>[1]!'ai[178].ZL'</f>
        <v>0</v>
      </c>
      <c r="H182" s="207">
        <f>[1]!'ai[178].ZH'</f>
        <v>300</v>
      </c>
      <c r="I182" s="221" t="s">
        <v>366</v>
      </c>
      <c r="J182" s="207">
        <f>[1]!'ai[178].RL.V'</f>
        <v>130</v>
      </c>
      <c r="K182" s="207">
        <f>[1]!'ai[178].RH.V'</f>
        <v>270</v>
      </c>
      <c r="L182" s="207">
        <f>[1]!'ai[178].L.V'</f>
        <v>0</v>
      </c>
      <c r="M182" s="207">
        <f>[1]!'ai[178].H.V'</f>
        <v>0</v>
      </c>
      <c r="N182" s="207">
        <f>[1]!'ai[178].LL.V'</f>
        <v>0</v>
      </c>
      <c r="O182" s="207">
        <f>[1]!'ai[178].HH.V'</f>
        <v>0</v>
      </c>
      <c r="P182" s="223">
        <v>1</v>
      </c>
      <c r="Q182" s="224">
        <v>0</v>
      </c>
      <c r="R182" s="184"/>
      <c r="T182" s="207">
        <f>[1]!'ai[178].group'</f>
        <v>4</v>
      </c>
      <c r="X182" s="207">
        <f>[1]!'ai[178].EN'</f>
        <v>1</v>
      </c>
      <c r="Y182" s="207">
        <f>[1]!'ai[178].i'</f>
        <v>3.4551619999999999E-3</v>
      </c>
      <c r="Z182" s="207">
        <f>[1]!'ai[178].isForce'</f>
        <v>0</v>
      </c>
      <c r="AA182" s="207" t="e">
        <f>[1]!'ai[178].vRaw'</f>
        <v>#REF!</v>
      </c>
      <c r="AB182" s="207">
        <f>[1]!'ai[178].isCorrect'</f>
        <v>0</v>
      </c>
      <c r="AC182" s="207" t="e">
        <f>[1]!'ai[178].vCorrect'</f>
        <v>#REF!</v>
      </c>
      <c r="AD182" s="207">
        <f>[1]!'ai[178].v'</f>
        <v>0</v>
      </c>
      <c r="AE182" s="207" t="e">
        <f>[1]!'ai[178].isCut'</f>
        <v>#REF!</v>
      </c>
      <c r="AF182" s="207" t="e">
        <f>[1]!'ai[178].vCut'</f>
        <v>#REF!</v>
      </c>
      <c r="AG182" s="208"/>
      <c r="AH182" s="207">
        <f>[1]!'ai[178].break.sgn'</f>
        <v>1</v>
      </c>
      <c r="AI182" s="208"/>
      <c r="AJ182" s="207">
        <f>[1]!'ai[178].ZL'</f>
        <v>0</v>
      </c>
      <c r="AK182" s="207">
        <f>[1]!'ai[178].ZH'</f>
        <v>300</v>
      </c>
      <c r="AL182" s="208"/>
      <c r="AM182" s="207">
        <f>[1]!'ai[178].RL.EN'</f>
        <v>1</v>
      </c>
      <c r="AN182" s="207">
        <f>[1]!'ai[178].RL.V'</f>
        <v>130</v>
      </c>
      <c r="AO182" s="207">
        <f>[1]!'ai[178].RL.fix'</f>
        <v>0</v>
      </c>
      <c r="AP182" s="208"/>
      <c r="AQ182" s="207">
        <f>[1]!'ai[178].RH.EN'</f>
        <v>1</v>
      </c>
      <c r="AR182" s="207">
        <f>[1]!'ai[178].RH.V'</f>
        <v>270</v>
      </c>
      <c r="AS182" s="207">
        <f>[1]!'ai[178].RH.fix'</f>
        <v>0</v>
      </c>
      <c r="AT182" s="208"/>
      <c r="AU182" s="207">
        <f>[1]!'ai[178].L.EN'</f>
        <v>0</v>
      </c>
      <c r="AV182" s="207">
        <f>[1]!'ai[178].L.V'</f>
        <v>0</v>
      </c>
      <c r="AW182" s="207">
        <f>[1]!'ai[178].L.fix'</f>
        <v>0</v>
      </c>
      <c r="AX182" s="208"/>
      <c r="AY182" s="207">
        <f>[1]!'ai[178].H.EN'</f>
        <v>0</v>
      </c>
      <c r="AZ182" s="207">
        <f>[1]!'ai[178].H.V'</f>
        <v>0</v>
      </c>
      <c r="BA182" s="207">
        <f>[1]!'ai[178].H.fix'</f>
        <v>0</v>
      </c>
      <c r="BB182" s="208"/>
      <c r="BC182" s="207">
        <f>[1]!'ai[178].LL.EN'</f>
        <v>0</v>
      </c>
      <c r="BD182" s="207">
        <f>[1]!'ai[178].LL.V'</f>
        <v>0</v>
      </c>
      <c r="BE182" s="207">
        <f>[1]!'ai[178].LL.fix'</f>
        <v>0</v>
      </c>
      <c r="BF182" s="208"/>
      <c r="BG182" s="207">
        <f>[1]!'ai[178].HH.EN'</f>
        <v>0</v>
      </c>
      <c r="BH182" s="207">
        <f>[1]!'ai[178].HH.V'</f>
        <v>0</v>
      </c>
      <c r="BI182" s="207">
        <f>[1]!'ai[178].HH.fix'</f>
        <v>0</v>
      </c>
      <c r="BJ182" s="209"/>
      <c r="BK182" s="207">
        <f>[1]!'ai[178].group'</f>
        <v>4</v>
      </c>
      <c r="BL182" s="207">
        <f>[1]!'ai[178].state'</f>
        <v>4</v>
      </c>
      <c r="BM182" s="207">
        <f>[1]!'ai[178].isInvScale'</f>
        <v>0</v>
      </c>
    </row>
    <row r="183" spans="1:65">
      <c r="A183" s="445"/>
      <c r="B183" s="446"/>
      <c r="C183" s="221">
        <v>3</v>
      </c>
      <c r="D183" s="221">
        <v>3</v>
      </c>
      <c r="E183" s="222" t="s">
        <v>371</v>
      </c>
      <c r="F183" s="222" t="s">
        <v>372</v>
      </c>
      <c r="G183" s="207">
        <f>[1]!'ai[179].ZL'</f>
        <v>0</v>
      </c>
      <c r="H183" s="207">
        <f>[1]!'ai[179].ZH'</f>
        <v>300</v>
      </c>
      <c r="I183" s="221" t="s">
        <v>366</v>
      </c>
      <c r="J183" s="207">
        <f>[1]!'ai[179].RL.V'</f>
        <v>40</v>
      </c>
      <c r="K183" s="207">
        <f>[1]!'ai[179].RH.V'</f>
        <v>160</v>
      </c>
      <c r="L183" s="207">
        <f>[1]!'ai[179].L.V'</f>
        <v>0</v>
      </c>
      <c r="M183" s="207">
        <f>[1]!'ai[179].H.V'</f>
        <v>0</v>
      </c>
      <c r="N183" s="207">
        <f>[1]!'ai[179].LL.V'</f>
        <v>0</v>
      </c>
      <c r="O183" s="207">
        <f>[1]!'ai[179].HH.V'</f>
        <v>0</v>
      </c>
      <c r="P183" s="223">
        <v>1</v>
      </c>
      <c r="Q183" s="224">
        <v>0</v>
      </c>
      <c r="R183" s="184"/>
      <c r="T183" s="207">
        <f>[1]!'ai[179].group'</f>
        <v>4</v>
      </c>
      <c r="X183" s="207">
        <f>[1]!'ai[179].EN'</f>
        <v>1</v>
      </c>
      <c r="Y183" s="207">
        <f>[1]!'ai[179].i'</f>
        <v>3.4551619999999999E-3</v>
      </c>
      <c r="Z183" s="207">
        <f>[1]!'ai[179].isForce'</f>
        <v>0</v>
      </c>
      <c r="AA183" s="207" t="e">
        <f>[1]!'ai[179].vRaw'</f>
        <v>#REF!</v>
      </c>
      <c r="AB183" s="207">
        <f>[1]!'ai[179].isCorrect'</f>
        <v>0</v>
      </c>
      <c r="AC183" s="207" t="e">
        <f>[1]!'ai[179].vCorrect'</f>
        <v>#REF!</v>
      </c>
      <c r="AD183" s="207">
        <f>[1]!'ai[179].v'</f>
        <v>0</v>
      </c>
      <c r="AE183" s="207" t="e">
        <f>[1]!'ai[179].isCut'</f>
        <v>#REF!</v>
      </c>
      <c r="AF183" s="207" t="e">
        <f>[1]!'ai[179].vCut'</f>
        <v>#REF!</v>
      </c>
      <c r="AG183" s="208"/>
      <c r="AH183" s="207">
        <f>[1]!'ai[179].break.sgn'</f>
        <v>1</v>
      </c>
      <c r="AI183" s="208"/>
      <c r="AJ183" s="207">
        <f>[1]!'ai[179].ZL'</f>
        <v>0</v>
      </c>
      <c r="AK183" s="207">
        <f>[1]!'ai[179].ZH'</f>
        <v>300</v>
      </c>
      <c r="AL183" s="208"/>
      <c r="AM183" s="207">
        <f>[1]!'ai[179].RL.EN'</f>
        <v>1</v>
      </c>
      <c r="AN183" s="207">
        <f>[1]!'ai[179].RL.V'</f>
        <v>40</v>
      </c>
      <c r="AO183" s="207">
        <f>[1]!'ai[179].RL.fix'</f>
        <v>0</v>
      </c>
      <c r="AP183" s="208"/>
      <c r="AQ183" s="207">
        <f>[1]!'ai[179].RH.EN'</f>
        <v>1</v>
      </c>
      <c r="AR183" s="207">
        <f>[1]!'ai[179].RH.V'</f>
        <v>160</v>
      </c>
      <c r="AS183" s="207">
        <f>[1]!'ai[179].RH.fix'</f>
        <v>0</v>
      </c>
      <c r="AT183" s="208"/>
      <c r="AU183" s="207">
        <f>[1]!'ai[179].L.EN'</f>
        <v>0</v>
      </c>
      <c r="AV183" s="207">
        <f>[1]!'ai[179].L.V'</f>
        <v>0</v>
      </c>
      <c r="AW183" s="207">
        <f>[1]!'ai[179].L.fix'</f>
        <v>0</v>
      </c>
      <c r="AX183" s="208"/>
      <c r="AY183" s="207">
        <f>[1]!'ai[179].H.EN'</f>
        <v>0</v>
      </c>
      <c r="AZ183" s="207">
        <f>[1]!'ai[179].H.V'</f>
        <v>0</v>
      </c>
      <c r="BA183" s="207">
        <f>[1]!'ai[179].H.fix'</f>
        <v>0</v>
      </c>
      <c r="BB183" s="208"/>
      <c r="BC183" s="207">
        <f>[1]!'ai[179].LL.EN'</f>
        <v>0</v>
      </c>
      <c r="BD183" s="207">
        <f>[1]!'ai[179].LL.V'</f>
        <v>0</v>
      </c>
      <c r="BE183" s="207">
        <f>[1]!'ai[179].LL.fix'</f>
        <v>0</v>
      </c>
      <c r="BF183" s="208"/>
      <c r="BG183" s="207">
        <f>[1]!'ai[179].HH.EN'</f>
        <v>0</v>
      </c>
      <c r="BH183" s="207">
        <f>[1]!'ai[179].HH.V'</f>
        <v>0</v>
      </c>
      <c r="BI183" s="207">
        <f>[1]!'ai[179].HH.fix'</f>
        <v>0</v>
      </c>
      <c r="BJ183" s="209"/>
      <c r="BK183" s="207">
        <f>[1]!'ai[179].group'</f>
        <v>4</v>
      </c>
      <c r="BL183" s="207">
        <f>[1]!'ai[179].state'</f>
        <v>4</v>
      </c>
      <c r="BM183" s="207">
        <f>[1]!'ai[179].isInvScale'</f>
        <v>0</v>
      </c>
    </row>
    <row r="184" spans="1:65">
      <c r="A184" s="445"/>
      <c r="B184" s="446"/>
      <c r="C184" s="221">
        <v>4</v>
      </c>
      <c r="D184" s="221">
        <v>4</v>
      </c>
      <c r="E184" s="222" t="s">
        <v>373</v>
      </c>
      <c r="F184" s="222" t="s">
        <v>374</v>
      </c>
      <c r="G184" s="207">
        <f>[1]!'ai[180].ZL'</f>
        <v>0</v>
      </c>
      <c r="H184" s="207">
        <f>[1]!'ai[180].ZH'</f>
        <v>300</v>
      </c>
      <c r="I184" s="221" t="s">
        <v>366</v>
      </c>
      <c r="J184" s="207">
        <f>[1]!'ai[180].RL.V'</f>
        <v>40</v>
      </c>
      <c r="K184" s="207">
        <f>[1]!'ai[180].RH.V'</f>
        <v>160</v>
      </c>
      <c r="L184" s="207">
        <f>[1]!'ai[180].L.V'</f>
        <v>0</v>
      </c>
      <c r="M184" s="207">
        <f>[1]!'ai[180].H.V'</f>
        <v>0</v>
      </c>
      <c r="N184" s="207">
        <f>[1]!'ai[180].LL.V'</f>
        <v>0</v>
      </c>
      <c r="O184" s="207">
        <f>[1]!'ai[180].HH.V'</f>
        <v>0</v>
      </c>
      <c r="P184" s="223">
        <v>1</v>
      </c>
      <c r="Q184" s="224">
        <v>0</v>
      </c>
      <c r="R184" s="184"/>
      <c r="T184" s="207">
        <f>[1]!'ai[180].group'</f>
        <v>4</v>
      </c>
      <c r="X184" s="207">
        <f>[1]!'ai[180].EN'</f>
        <v>1</v>
      </c>
      <c r="Y184" s="207">
        <f>[1]!'ai[180].i'</f>
        <v>1.2559890000000001E-3</v>
      </c>
      <c r="Z184" s="207">
        <f>[1]!'ai[180].isForce'</f>
        <v>0</v>
      </c>
      <c r="AA184" s="207" t="e">
        <f>[1]!'ai[180].vRaw'</f>
        <v>#REF!</v>
      </c>
      <c r="AB184" s="207">
        <f>[1]!'ai[180].isCorrect'</f>
        <v>0</v>
      </c>
      <c r="AC184" s="207" t="e">
        <f>[1]!'ai[180].vCorrect'</f>
        <v>#REF!</v>
      </c>
      <c r="AD184" s="207">
        <f>[1]!'ai[180].v'</f>
        <v>0</v>
      </c>
      <c r="AE184" s="207" t="e">
        <f>[1]!'ai[180].isCut'</f>
        <v>#REF!</v>
      </c>
      <c r="AF184" s="207" t="e">
        <f>[1]!'ai[180].vCut'</f>
        <v>#REF!</v>
      </c>
      <c r="AG184" s="208"/>
      <c r="AH184" s="207">
        <f>[1]!'ai[180].break.sgn'</f>
        <v>1</v>
      </c>
      <c r="AI184" s="208"/>
      <c r="AJ184" s="207">
        <f>[1]!'ai[180].ZL'</f>
        <v>0</v>
      </c>
      <c r="AK184" s="207">
        <f>[1]!'ai[180].ZH'</f>
        <v>300</v>
      </c>
      <c r="AL184" s="208"/>
      <c r="AM184" s="207">
        <f>[1]!'ai[180].RL.EN'</f>
        <v>1</v>
      </c>
      <c r="AN184" s="207">
        <f>[1]!'ai[180].RL.V'</f>
        <v>40</v>
      </c>
      <c r="AO184" s="207">
        <f>[1]!'ai[180].RL.fix'</f>
        <v>0</v>
      </c>
      <c r="AP184" s="208"/>
      <c r="AQ184" s="207">
        <f>[1]!'ai[180].RH.EN'</f>
        <v>1</v>
      </c>
      <c r="AR184" s="207">
        <f>[1]!'ai[180].RH.V'</f>
        <v>160</v>
      </c>
      <c r="AS184" s="207">
        <f>[1]!'ai[180].RH.fix'</f>
        <v>0</v>
      </c>
      <c r="AT184" s="208"/>
      <c r="AU184" s="207">
        <f>[1]!'ai[180].L.EN'</f>
        <v>0</v>
      </c>
      <c r="AV184" s="207">
        <f>[1]!'ai[180].L.V'</f>
        <v>0</v>
      </c>
      <c r="AW184" s="207">
        <f>[1]!'ai[180].L.fix'</f>
        <v>0</v>
      </c>
      <c r="AX184" s="208"/>
      <c r="AY184" s="207">
        <f>[1]!'ai[180].H.EN'</f>
        <v>0</v>
      </c>
      <c r="AZ184" s="207">
        <f>[1]!'ai[180].H.V'</f>
        <v>0</v>
      </c>
      <c r="BA184" s="207">
        <f>[1]!'ai[180].H.fix'</f>
        <v>0</v>
      </c>
      <c r="BB184" s="208"/>
      <c r="BC184" s="207">
        <f>[1]!'ai[180].LL.EN'</f>
        <v>0</v>
      </c>
      <c r="BD184" s="207">
        <f>[1]!'ai[180].LL.V'</f>
        <v>0</v>
      </c>
      <c r="BE184" s="207">
        <f>[1]!'ai[180].LL.fix'</f>
        <v>0</v>
      </c>
      <c r="BF184" s="208"/>
      <c r="BG184" s="207">
        <f>[1]!'ai[180].HH.EN'</f>
        <v>0</v>
      </c>
      <c r="BH184" s="207">
        <f>[1]!'ai[180].HH.V'</f>
        <v>0</v>
      </c>
      <c r="BI184" s="207">
        <f>[1]!'ai[180].HH.fix'</f>
        <v>0</v>
      </c>
      <c r="BJ184" s="210"/>
      <c r="BK184" s="207">
        <f>[1]!'ai[180].group'</f>
        <v>4</v>
      </c>
      <c r="BL184" s="207">
        <f>[1]!'ai[180].state'</f>
        <v>4</v>
      </c>
      <c r="BM184" s="207">
        <f>[1]!'ai[180].isInvScale'</f>
        <v>0</v>
      </c>
    </row>
    <row r="185" spans="1:65">
      <c r="A185" s="445"/>
      <c r="B185" s="446"/>
      <c r="C185" s="221">
        <v>5</v>
      </c>
      <c r="D185" s="221">
        <v>5</v>
      </c>
      <c r="E185" s="222" t="s">
        <v>375</v>
      </c>
      <c r="F185" s="222" t="s">
        <v>376</v>
      </c>
      <c r="G185" s="207">
        <f>[1]!'ai[181].ZL'</f>
        <v>0</v>
      </c>
      <c r="H185" s="207">
        <f>[1]!'ai[181].ZH'</f>
        <v>300</v>
      </c>
      <c r="I185" s="221" t="s">
        <v>366</v>
      </c>
      <c r="J185" s="207">
        <f>[1]!'ai[181].RL.V'</f>
        <v>40</v>
      </c>
      <c r="K185" s="207">
        <f>[1]!'ai[181].RH.V'</f>
        <v>160</v>
      </c>
      <c r="L185" s="207">
        <f>[1]!'ai[181].L.V'</f>
        <v>0</v>
      </c>
      <c r="M185" s="207">
        <f>[1]!'ai[181].H.V'</f>
        <v>0</v>
      </c>
      <c r="N185" s="207">
        <f>[1]!'ai[181].LL.V'</f>
        <v>0</v>
      </c>
      <c r="O185" s="207">
        <f>[1]!'ai[181].HH.V'</f>
        <v>0</v>
      </c>
      <c r="P185" s="223">
        <v>1</v>
      </c>
      <c r="Q185" s="224">
        <v>0</v>
      </c>
      <c r="R185" s="184"/>
      <c r="T185" s="207">
        <f>[1]!'ai[181].group'</f>
        <v>4</v>
      </c>
      <c r="X185" s="207">
        <f>[1]!'ai[181].EN'</f>
        <v>1</v>
      </c>
      <c r="Y185" s="207">
        <f>[1]!'ai[181].i'</f>
        <v>1.8844599999999999E-3</v>
      </c>
      <c r="Z185" s="207">
        <f>[1]!'ai[181].isForce'</f>
        <v>0</v>
      </c>
      <c r="AA185" s="207" t="e">
        <f>[1]!'ai[181].vRaw'</f>
        <v>#REF!</v>
      </c>
      <c r="AB185" s="207">
        <f>[1]!'ai[181].isCorrect'</f>
        <v>0</v>
      </c>
      <c r="AC185" s="207" t="e">
        <f>[1]!'ai[181].vCorrect'</f>
        <v>#REF!</v>
      </c>
      <c r="AD185" s="207">
        <f>[1]!'ai[181].v'</f>
        <v>0</v>
      </c>
      <c r="AE185" s="207" t="e">
        <f>[1]!'ai[181].isCut'</f>
        <v>#REF!</v>
      </c>
      <c r="AF185" s="207" t="e">
        <f>[1]!'ai[181].vCut'</f>
        <v>#REF!</v>
      </c>
      <c r="AG185" s="208"/>
      <c r="AH185" s="207">
        <f>[1]!'ai[181].break.sgn'</f>
        <v>1</v>
      </c>
      <c r="AI185" s="208"/>
      <c r="AJ185" s="207">
        <f>[1]!'ai[181].ZL'</f>
        <v>0</v>
      </c>
      <c r="AK185" s="207">
        <f>[1]!'ai[181].ZH'</f>
        <v>300</v>
      </c>
      <c r="AL185" s="208"/>
      <c r="AM185" s="207">
        <f>[1]!'ai[181].RL.EN'</f>
        <v>1</v>
      </c>
      <c r="AN185" s="207">
        <f>[1]!'ai[181].RL.V'</f>
        <v>40</v>
      </c>
      <c r="AO185" s="207">
        <f>[1]!'ai[181].RL.fix'</f>
        <v>0</v>
      </c>
      <c r="AP185" s="208"/>
      <c r="AQ185" s="207">
        <f>[1]!'ai[181].RH.EN'</f>
        <v>1</v>
      </c>
      <c r="AR185" s="207">
        <f>[1]!'ai[181].RH.V'</f>
        <v>160</v>
      </c>
      <c r="AS185" s="207">
        <f>[1]!'ai[181].RH.fix'</f>
        <v>0</v>
      </c>
      <c r="AT185" s="208"/>
      <c r="AU185" s="207">
        <f>[1]!'ai[181].L.EN'</f>
        <v>0</v>
      </c>
      <c r="AV185" s="207">
        <f>[1]!'ai[181].L.V'</f>
        <v>0</v>
      </c>
      <c r="AW185" s="207">
        <f>[1]!'ai[181].L.fix'</f>
        <v>0</v>
      </c>
      <c r="AX185" s="208"/>
      <c r="AY185" s="207">
        <f>[1]!'ai[181].H.EN'</f>
        <v>0</v>
      </c>
      <c r="AZ185" s="207">
        <f>[1]!'ai[181].H.V'</f>
        <v>0</v>
      </c>
      <c r="BA185" s="207">
        <f>[1]!'ai[181].H.fix'</f>
        <v>0</v>
      </c>
      <c r="BB185" s="208"/>
      <c r="BC185" s="207">
        <f>[1]!'ai[181].LL.EN'</f>
        <v>0</v>
      </c>
      <c r="BD185" s="207">
        <f>[1]!'ai[181].LL.V'</f>
        <v>0</v>
      </c>
      <c r="BE185" s="207">
        <f>[1]!'ai[181].LL.fix'</f>
        <v>0</v>
      </c>
      <c r="BF185" s="208"/>
      <c r="BG185" s="207">
        <f>[1]!'ai[181].HH.EN'</f>
        <v>0</v>
      </c>
      <c r="BH185" s="207">
        <f>[1]!'ai[181].HH.V'</f>
        <v>0</v>
      </c>
      <c r="BI185" s="207">
        <f>[1]!'ai[181].HH.fix'</f>
        <v>0</v>
      </c>
      <c r="BJ185" s="210"/>
      <c r="BK185" s="207">
        <f>[1]!'ai[181].group'</f>
        <v>4</v>
      </c>
      <c r="BL185" s="207">
        <f>[1]!'ai[181].state'</f>
        <v>4</v>
      </c>
      <c r="BM185" s="207">
        <f>[1]!'ai[181].isInvScale'</f>
        <v>0</v>
      </c>
    </row>
    <row r="186" spans="1:65">
      <c r="A186" s="445"/>
      <c r="B186" s="446"/>
      <c r="C186" s="221">
        <v>6</v>
      </c>
      <c r="D186" s="221">
        <v>6</v>
      </c>
      <c r="E186" s="222" t="s">
        <v>377</v>
      </c>
      <c r="F186" s="222" t="s">
        <v>378</v>
      </c>
      <c r="G186" s="207">
        <f>[1]!'ai[182].ZL'</f>
        <v>0</v>
      </c>
      <c r="H186" s="207">
        <f>[1]!'ai[182].ZH'</f>
        <v>300</v>
      </c>
      <c r="I186" s="221" t="s">
        <v>366</v>
      </c>
      <c r="J186" s="207">
        <f>[1]!'ai[182].RL.V'</f>
        <v>130</v>
      </c>
      <c r="K186" s="207">
        <f>[1]!'ai[182].RH.V'</f>
        <v>250</v>
      </c>
      <c r="L186" s="207">
        <f>[1]!'ai[182].L.V'</f>
        <v>0</v>
      </c>
      <c r="M186" s="207">
        <f>[1]!'ai[182].H.V'</f>
        <v>0</v>
      </c>
      <c r="N186" s="207">
        <f>[1]!'ai[182].LL.V'</f>
        <v>0</v>
      </c>
      <c r="O186" s="207">
        <f>[1]!'ai[182].HH.V'</f>
        <v>0</v>
      </c>
      <c r="P186" s="223">
        <v>1</v>
      </c>
      <c r="Q186" s="224">
        <v>0</v>
      </c>
      <c r="R186" s="184"/>
      <c r="T186" s="207">
        <f>[1]!'ai[182].group'</f>
        <v>4</v>
      </c>
      <c r="X186" s="207">
        <f>[1]!'ai[182].EN'</f>
        <v>1</v>
      </c>
      <c r="Y186" s="207">
        <f>[1]!'ai[182].i'</f>
        <v>1.570702E-3</v>
      </c>
      <c r="Z186" s="207">
        <f>[1]!'ai[182].isForce'</f>
        <v>0</v>
      </c>
      <c r="AA186" s="207" t="e">
        <f>[1]!'ai[182].vRaw'</f>
        <v>#REF!</v>
      </c>
      <c r="AB186" s="207">
        <f>[1]!'ai[182].isCorrect'</f>
        <v>0</v>
      </c>
      <c r="AC186" s="207" t="e">
        <f>[1]!'ai[182].vCorrect'</f>
        <v>#REF!</v>
      </c>
      <c r="AD186" s="207">
        <f>[1]!'ai[182].v'</f>
        <v>0</v>
      </c>
      <c r="AE186" s="207" t="e">
        <f>[1]!'ai[182].isCut'</f>
        <v>#REF!</v>
      </c>
      <c r="AF186" s="207" t="e">
        <f>[1]!'ai[182].vCut'</f>
        <v>#REF!</v>
      </c>
      <c r="AG186" s="208"/>
      <c r="AH186" s="207">
        <f>[1]!'ai[182].break.sgn'</f>
        <v>1</v>
      </c>
      <c r="AI186" s="208"/>
      <c r="AJ186" s="207">
        <f>[1]!'ai[182].ZL'</f>
        <v>0</v>
      </c>
      <c r="AK186" s="207">
        <f>[1]!'ai[182].ZH'</f>
        <v>300</v>
      </c>
      <c r="AL186" s="208"/>
      <c r="AM186" s="207">
        <f>[1]!'ai[182].RL.EN'</f>
        <v>1</v>
      </c>
      <c r="AN186" s="207">
        <f>[1]!'ai[182].RL.V'</f>
        <v>130</v>
      </c>
      <c r="AO186" s="207">
        <f>[1]!'ai[182].RL.fix'</f>
        <v>0</v>
      </c>
      <c r="AP186" s="208"/>
      <c r="AQ186" s="207">
        <f>[1]!'ai[182].RH.EN'</f>
        <v>1</v>
      </c>
      <c r="AR186" s="207">
        <f>[1]!'ai[182].RH.V'</f>
        <v>250</v>
      </c>
      <c r="AS186" s="207">
        <f>[1]!'ai[182].RH.fix'</f>
        <v>0</v>
      </c>
      <c r="AT186" s="208"/>
      <c r="AU186" s="207">
        <f>[1]!'ai[182].L.EN'</f>
        <v>0</v>
      </c>
      <c r="AV186" s="207">
        <f>[1]!'ai[182].L.V'</f>
        <v>0</v>
      </c>
      <c r="AW186" s="207">
        <f>[1]!'ai[182].L.fix'</f>
        <v>0</v>
      </c>
      <c r="AX186" s="208"/>
      <c r="AY186" s="207">
        <f>[1]!'ai[182].H.EN'</f>
        <v>0</v>
      </c>
      <c r="AZ186" s="207">
        <f>[1]!'ai[182].H.V'</f>
        <v>0</v>
      </c>
      <c r="BA186" s="207">
        <f>[1]!'ai[182].H.fix'</f>
        <v>0</v>
      </c>
      <c r="BB186" s="208"/>
      <c r="BC186" s="207">
        <f>[1]!'ai[182].LL.EN'</f>
        <v>0</v>
      </c>
      <c r="BD186" s="207">
        <f>[1]!'ai[182].LL.V'</f>
        <v>0</v>
      </c>
      <c r="BE186" s="207">
        <f>[1]!'ai[182].LL.fix'</f>
        <v>0</v>
      </c>
      <c r="BF186" s="208"/>
      <c r="BG186" s="207">
        <f>[1]!'ai[182].HH.EN'</f>
        <v>0</v>
      </c>
      <c r="BH186" s="207">
        <f>[1]!'ai[182].HH.V'</f>
        <v>0</v>
      </c>
      <c r="BI186" s="207">
        <f>[1]!'ai[182].HH.fix'</f>
        <v>0</v>
      </c>
      <c r="BJ186" s="210"/>
      <c r="BK186" s="207">
        <f>[1]!'ai[182].group'</f>
        <v>4</v>
      </c>
      <c r="BL186" s="207">
        <f>[1]!'ai[182].state'</f>
        <v>4</v>
      </c>
      <c r="BM186" s="207">
        <f>[1]!'ai[182].isInvScale'</f>
        <v>0</v>
      </c>
    </row>
    <row r="187" spans="1:65">
      <c r="A187" s="445"/>
      <c r="B187" s="446"/>
      <c r="C187" s="221">
        <v>7</v>
      </c>
      <c r="D187" s="221">
        <v>7</v>
      </c>
      <c r="E187" s="222" t="s">
        <v>379</v>
      </c>
      <c r="F187" s="222" t="s">
        <v>380</v>
      </c>
      <c r="G187" s="207">
        <f>[1]!'ai[183].ZL'</f>
        <v>0</v>
      </c>
      <c r="H187" s="207">
        <f>[1]!'ai[183].ZH'</f>
        <v>100</v>
      </c>
      <c r="I187" s="221" t="s">
        <v>366</v>
      </c>
      <c r="J187" s="207">
        <f>[1]!'ai[183].RL.V'</f>
        <v>0</v>
      </c>
      <c r="K187" s="207">
        <f>[1]!'ai[183].RH.V'</f>
        <v>85</v>
      </c>
      <c r="L187" s="207">
        <f>[1]!'ai[183].L.V'</f>
        <v>0</v>
      </c>
      <c r="M187" s="207">
        <f>[1]!'ai[183].H.V'</f>
        <v>0</v>
      </c>
      <c r="N187" s="207">
        <f>[1]!'ai[183].LL.V'</f>
        <v>0</v>
      </c>
      <c r="O187" s="207">
        <f>[1]!'ai[183].HH.V'</f>
        <v>0</v>
      </c>
      <c r="P187" s="223">
        <v>1</v>
      </c>
      <c r="Q187" s="224">
        <v>0</v>
      </c>
      <c r="R187" s="184"/>
      <c r="T187" s="207">
        <f>[1]!'ai[183].group'</f>
        <v>4</v>
      </c>
      <c r="X187" s="207">
        <f>[1]!'ai[183].EN'</f>
        <v>1</v>
      </c>
      <c r="Y187" s="207">
        <f>[1]!'ai[183].i'</f>
        <v>1.8844599999999999E-3</v>
      </c>
      <c r="Z187" s="207">
        <f>[1]!'ai[183].isForce'</f>
        <v>0</v>
      </c>
      <c r="AA187" s="207" t="e">
        <f>[1]!'ai[183].vRaw'</f>
        <v>#REF!</v>
      </c>
      <c r="AB187" s="207">
        <f>[1]!'ai[183].isCorrect'</f>
        <v>0</v>
      </c>
      <c r="AC187" s="207" t="e">
        <f>[1]!'ai[183].vCorrect'</f>
        <v>#REF!</v>
      </c>
      <c r="AD187" s="207">
        <f>[1]!'ai[183].v'</f>
        <v>0</v>
      </c>
      <c r="AE187" s="207" t="e">
        <f>[1]!'ai[183].isCut'</f>
        <v>#REF!</v>
      </c>
      <c r="AF187" s="207" t="e">
        <f>[1]!'ai[183].vCut'</f>
        <v>#REF!</v>
      </c>
      <c r="AG187" s="208"/>
      <c r="AH187" s="207">
        <f>[1]!'ai[183].break.sgn'</f>
        <v>1</v>
      </c>
      <c r="AI187" s="208"/>
      <c r="AJ187" s="207">
        <f>[1]!'ai[183].ZL'</f>
        <v>0</v>
      </c>
      <c r="AK187" s="207">
        <f>[1]!'ai[183].ZH'</f>
        <v>100</v>
      </c>
      <c r="AL187" s="208"/>
      <c r="AM187" s="207">
        <f>[1]!'ai[183].RL.EN'</f>
        <v>1</v>
      </c>
      <c r="AN187" s="207">
        <f>[1]!'ai[183].RL.V'</f>
        <v>0</v>
      </c>
      <c r="AO187" s="207">
        <f>[1]!'ai[183].RL.fix'</f>
        <v>0</v>
      </c>
      <c r="AP187" s="208"/>
      <c r="AQ187" s="207">
        <f>[1]!'ai[183].RH.EN'</f>
        <v>1</v>
      </c>
      <c r="AR187" s="207">
        <f>[1]!'ai[183].RH.V'</f>
        <v>85</v>
      </c>
      <c r="AS187" s="207">
        <f>[1]!'ai[183].RH.fix'</f>
        <v>0</v>
      </c>
      <c r="AT187" s="208"/>
      <c r="AU187" s="207">
        <f>[1]!'ai[183].L.EN'</f>
        <v>0</v>
      </c>
      <c r="AV187" s="207">
        <f>[1]!'ai[183].L.V'</f>
        <v>0</v>
      </c>
      <c r="AW187" s="207">
        <f>[1]!'ai[183].L.fix'</f>
        <v>0</v>
      </c>
      <c r="AX187" s="208"/>
      <c r="AY187" s="207">
        <f>[1]!'ai[183].H.EN'</f>
        <v>0</v>
      </c>
      <c r="AZ187" s="207">
        <f>[1]!'ai[183].H.V'</f>
        <v>0</v>
      </c>
      <c r="BA187" s="207">
        <f>[1]!'ai[183].H.fix'</f>
        <v>0</v>
      </c>
      <c r="BB187" s="208"/>
      <c r="BC187" s="207">
        <f>[1]!'ai[183].LL.EN'</f>
        <v>0</v>
      </c>
      <c r="BD187" s="207">
        <f>[1]!'ai[183].LL.V'</f>
        <v>0</v>
      </c>
      <c r="BE187" s="207">
        <f>[1]!'ai[183].LL.fix'</f>
        <v>0</v>
      </c>
      <c r="BF187" s="208"/>
      <c r="BG187" s="207">
        <f>[1]!'ai[183].HH.EN'</f>
        <v>0</v>
      </c>
      <c r="BH187" s="207">
        <f>[1]!'ai[183].HH.V'</f>
        <v>0</v>
      </c>
      <c r="BI187" s="207">
        <f>[1]!'ai[183].HH.fix'</f>
        <v>0</v>
      </c>
      <c r="BJ187" s="210"/>
      <c r="BK187" s="207">
        <f>[1]!'ai[183].group'</f>
        <v>4</v>
      </c>
      <c r="BL187" s="207">
        <f>[1]!'ai[183].state'</f>
        <v>4</v>
      </c>
      <c r="BM187" s="207">
        <f>[1]!'ai[183].isInvScale'</f>
        <v>0</v>
      </c>
    </row>
    <row r="188" spans="1:65">
      <c r="A188" s="445"/>
      <c r="B188" s="446"/>
      <c r="C188" s="221">
        <v>8</v>
      </c>
      <c r="D188" s="221">
        <v>8</v>
      </c>
      <c r="E188" s="222" t="s">
        <v>381</v>
      </c>
      <c r="F188" s="222" t="s">
        <v>382</v>
      </c>
      <c r="G188" s="207">
        <f>[1]!'ai[184].ZL'</f>
        <v>0</v>
      </c>
      <c r="H188" s="207">
        <f>[1]!'ai[184].ZH'</f>
        <v>300</v>
      </c>
      <c r="I188" s="221" t="s">
        <v>383</v>
      </c>
      <c r="J188" s="207">
        <f>[1]!'ai[184].RL.V'</f>
        <v>125</v>
      </c>
      <c r="K188" s="207">
        <f>[1]!'ai[184].RH.V'</f>
        <v>210</v>
      </c>
      <c r="L188" s="207">
        <f>[1]!'ai[184].L.V'</f>
        <v>0</v>
      </c>
      <c r="M188" s="207">
        <f>[1]!'ai[184].H.V'</f>
        <v>0</v>
      </c>
      <c r="N188" s="207">
        <f>[1]!'ai[184].LL.V'</f>
        <v>0</v>
      </c>
      <c r="O188" s="207">
        <f>[1]!'ai[184].HH.V'</f>
        <v>0</v>
      </c>
      <c r="P188" s="223">
        <v>1</v>
      </c>
      <c r="Q188" s="224"/>
      <c r="R188" s="184"/>
      <c r="T188" s="207">
        <f>[1]!'ai[184].group'</f>
        <v>4</v>
      </c>
      <c r="X188" s="207">
        <f>[1]!'ai[184].EN'</f>
        <v>1</v>
      </c>
      <c r="Y188" s="207">
        <f>[1]!'ai[184].i'</f>
        <v>9.4223020000000002E-4</v>
      </c>
      <c r="Z188" s="207">
        <f>[1]!'ai[184].isForce'</f>
        <v>0</v>
      </c>
      <c r="AA188" s="207" t="e">
        <f>[1]!'ai[184].vRaw'</f>
        <v>#REF!</v>
      </c>
      <c r="AB188" s="207">
        <f>[1]!'ai[184].isCorrect'</f>
        <v>0</v>
      </c>
      <c r="AC188" s="207" t="e">
        <f>[1]!'ai[184].vCorrect'</f>
        <v>#REF!</v>
      </c>
      <c r="AD188" s="207">
        <f>[1]!'ai[184].v'</f>
        <v>0</v>
      </c>
      <c r="AE188" s="207" t="e">
        <f>[1]!'ai[184].isCut'</f>
        <v>#REF!</v>
      </c>
      <c r="AF188" s="207" t="e">
        <f>[1]!'ai[184].vCut'</f>
        <v>#REF!</v>
      </c>
      <c r="AG188" s="208"/>
      <c r="AH188" s="207">
        <f>[1]!'ai[184].break.sgn'</f>
        <v>1</v>
      </c>
      <c r="AI188" s="208"/>
      <c r="AJ188" s="207">
        <f>[1]!'ai[184].ZL'</f>
        <v>0</v>
      </c>
      <c r="AK188" s="207">
        <f>[1]!'ai[184].ZH'</f>
        <v>300</v>
      </c>
      <c r="AL188" s="208"/>
      <c r="AM188" s="207">
        <f>[1]!'ai[184].RL.EN'</f>
        <v>1</v>
      </c>
      <c r="AN188" s="207">
        <f>[1]!'ai[184].RL.V'</f>
        <v>125</v>
      </c>
      <c r="AO188" s="207">
        <f>[1]!'ai[184].RL.fix'</f>
        <v>0</v>
      </c>
      <c r="AP188" s="208"/>
      <c r="AQ188" s="207">
        <f>[1]!'ai[184].RH.EN'</f>
        <v>1</v>
      </c>
      <c r="AR188" s="207">
        <f>[1]!'ai[184].RH.V'</f>
        <v>210</v>
      </c>
      <c r="AS188" s="207">
        <f>[1]!'ai[184].RH.fix'</f>
        <v>0</v>
      </c>
      <c r="AT188" s="208"/>
      <c r="AU188" s="207">
        <f>[1]!'ai[184].L.EN'</f>
        <v>0</v>
      </c>
      <c r="AV188" s="207">
        <f>[1]!'ai[184].L.V'</f>
        <v>0</v>
      </c>
      <c r="AW188" s="207">
        <f>[1]!'ai[184].L.fix'</f>
        <v>0</v>
      </c>
      <c r="AX188" s="208"/>
      <c r="AY188" s="207">
        <f>[1]!'ai[184].H.EN'</f>
        <v>0</v>
      </c>
      <c r="AZ188" s="207">
        <f>[1]!'ai[184].H.V'</f>
        <v>0</v>
      </c>
      <c r="BA188" s="207">
        <f>[1]!'ai[184].H.fix'</f>
        <v>0</v>
      </c>
      <c r="BB188" s="208"/>
      <c r="BC188" s="207">
        <f>[1]!'ai[184].LL.EN'</f>
        <v>0</v>
      </c>
      <c r="BD188" s="207">
        <f>[1]!'ai[184].LL.V'</f>
        <v>0</v>
      </c>
      <c r="BE188" s="207">
        <f>[1]!'ai[184].LL.fix'</f>
        <v>0</v>
      </c>
      <c r="BF188" s="208"/>
      <c r="BG188" s="207">
        <f>[1]!'ai[184].HH.EN'</f>
        <v>0</v>
      </c>
      <c r="BH188" s="207">
        <f>[1]!'ai[184].HH.V'</f>
        <v>0</v>
      </c>
      <c r="BI188" s="207">
        <f>[1]!'ai[184].HH.fix'</f>
        <v>0</v>
      </c>
      <c r="BJ188" s="210"/>
      <c r="BK188" s="207">
        <f>[1]!'ai[184].group'</f>
        <v>4</v>
      </c>
      <c r="BL188" s="207">
        <f>[1]!'ai[184].state'</f>
        <v>4</v>
      </c>
      <c r="BM188" s="207">
        <f>[1]!'ai[184].isInvScale'</f>
        <v>0</v>
      </c>
    </row>
    <row r="189" spans="1:65">
      <c r="A189" s="445"/>
      <c r="B189" s="446"/>
      <c r="C189" s="221">
        <v>9</v>
      </c>
      <c r="D189" s="221">
        <v>9</v>
      </c>
      <c r="E189" s="222" t="s">
        <v>384</v>
      </c>
      <c r="F189" s="222" t="s">
        <v>385</v>
      </c>
      <c r="G189" s="207">
        <f>[1]!'ai[185].ZL'</f>
        <v>0</v>
      </c>
      <c r="H189" s="207">
        <f>[1]!'ai[185].ZH'</f>
        <v>300</v>
      </c>
      <c r="I189" s="221" t="s">
        <v>383</v>
      </c>
      <c r="J189" s="207">
        <f>[1]!'ai[185].RL.V'</f>
        <v>125</v>
      </c>
      <c r="K189" s="207">
        <f>[1]!'ai[185].RH.V'</f>
        <v>210</v>
      </c>
      <c r="L189" s="207">
        <f>[1]!'ai[185].L.V'</f>
        <v>0</v>
      </c>
      <c r="M189" s="207">
        <f>[1]!'ai[185].H.V'</f>
        <v>0</v>
      </c>
      <c r="N189" s="207">
        <f>[1]!'ai[185].LL.V'</f>
        <v>0</v>
      </c>
      <c r="O189" s="207">
        <f>[1]!'ai[185].HH.V'</f>
        <v>0</v>
      </c>
      <c r="P189" s="223">
        <v>1</v>
      </c>
      <c r="Q189" s="224"/>
      <c r="R189" s="184"/>
      <c r="T189" s="207">
        <f>[1]!'ai[185].group'</f>
        <v>4</v>
      </c>
      <c r="X189" s="207">
        <f>[1]!'ai[185].EN'</f>
        <v>1</v>
      </c>
      <c r="Y189" s="207">
        <f>[1]!'ai[185].i'</f>
        <v>9.4223020000000002E-4</v>
      </c>
      <c r="Z189" s="207">
        <f>[1]!'ai[185].isForce'</f>
        <v>0</v>
      </c>
      <c r="AA189" s="207" t="e">
        <f>[1]!'ai[185].vRaw'</f>
        <v>#REF!</v>
      </c>
      <c r="AB189" s="207">
        <f>[1]!'ai[185].isCorrect'</f>
        <v>0</v>
      </c>
      <c r="AC189" s="207" t="e">
        <f>[1]!'ai[185].vCorrect'</f>
        <v>#REF!</v>
      </c>
      <c r="AD189" s="207">
        <f>[1]!'ai[185].v'</f>
        <v>0</v>
      </c>
      <c r="AE189" s="207" t="e">
        <f>[1]!'ai[185].isCut'</f>
        <v>#REF!</v>
      </c>
      <c r="AF189" s="207" t="e">
        <f>[1]!'ai[185].vCut'</f>
        <v>#REF!</v>
      </c>
      <c r="AG189" s="208"/>
      <c r="AH189" s="207">
        <f>[1]!'ai[185].break.sgn'</f>
        <v>1</v>
      </c>
      <c r="AI189" s="208"/>
      <c r="AJ189" s="207">
        <f>[1]!'ai[185].ZL'</f>
        <v>0</v>
      </c>
      <c r="AK189" s="207">
        <f>[1]!'ai[185].ZH'</f>
        <v>300</v>
      </c>
      <c r="AL189" s="208"/>
      <c r="AM189" s="207">
        <f>[1]!'ai[185].RL.EN'</f>
        <v>1</v>
      </c>
      <c r="AN189" s="207">
        <f>[1]!'ai[185].RL.V'</f>
        <v>125</v>
      </c>
      <c r="AO189" s="207">
        <f>[1]!'ai[185].RL.fix'</f>
        <v>0</v>
      </c>
      <c r="AP189" s="208"/>
      <c r="AQ189" s="207">
        <f>[1]!'ai[185].RH.EN'</f>
        <v>1</v>
      </c>
      <c r="AR189" s="207">
        <f>[1]!'ai[185].RH.V'</f>
        <v>210</v>
      </c>
      <c r="AS189" s="207">
        <f>[1]!'ai[185].RH.fix'</f>
        <v>0</v>
      </c>
      <c r="AT189" s="208"/>
      <c r="AU189" s="207">
        <f>[1]!'ai[185].L.EN'</f>
        <v>0</v>
      </c>
      <c r="AV189" s="207">
        <f>[1]!'ai[185].L.V'</f>
        <v>0</v>
      </c>
      <c r="AW189" s="207">
        <f>[1]!'ai[185].L.fix'</f>
        <v>0</v>
      </c>
      <c r="AX189" s="208"/>
      <c r="AY189" s="207">
        <f>[1]!'ai[185].H.EN'</f>
        <v>0</v>
      </c>
      <c r="AZ189" s="207">
        <f>[1]!'ai[185].H.V'</f>
        <v>0</v>
      </c>
      <c r="BA189" s="207">
        <f>[1]!'ai[185].H.fix'</f>
        <v>0</v>
      </c>
      <c r="BB189" s="208"/>
      <c r="BC189" s="207">
        <f>[1]!'ai[185].LL.EN'</f>
        <v>0</v>
      </c>
      <c r="BD189" s="207">
        <f>[1]!'ai[185].LL.V'</f>
        <v>0</v>
      </c>
      <c r="BE189" s="207">
        <f>[1]!'ai[185].LL.fix'</f>
        <v>0</v>
      </c>
      <c r="BF189" s="208"/>
      <c r="BG189" s="207">
        <f>[1]!'ai[185].HH.EN'</f>
        <v>0</v>
      </c>
      <c r="BH189" s="207">
        <f>[1]!'ai[185].HH.V'</f>
        <v>0</v>
      </c>
      <c r="BI189" s="207">
        <f>[1]!'ai[185].HH.fix'</f>
        <v>0</v>
      </c>
      <c r="BJ189" s="210"/>
      <c r="BK189" s="207">
        <f>[1]!'ai[185].group'</f>
        <v>4</v>
      </c>
      <c r="BL189" s="207">
        <f>[1]!'ai[185].state'</f>
        <v>4</v>
      </c>
      <c r="BM189" s="207">
        <f>[1]!'ai[185].isInvScale'</f>
        <v>0</v>
      </c>
    </row>
    <row r="190" spans="1:65">
      <c r="A190" s="445"/>
      <c r="B190" s="446"/>
      <c r="C190" s="221">
        <v>10</v>
      </c>
      <c r="D190" s="221">
        <v>10</v>
      </c>
      <c r="E190" s="222" t="s">
        <v>386</v>
      </c>
      <c r="F190" s="222" t="s">
        <v>387</v>
      </c>
      <c r="G190" s="207">
        <f>[1]!'ai[186].ZL'</f>
        <v>0</v>
      </c>
      <c r="H190" s="207">
        <f>[1]!'ai[186].ZH'</f>
        <v>300</v>
      </c>
      <c r="I190" s="221" t="s">
        <v>366</v>
      </c>
      <c r="J190" s="207">
        <f>[1]!'ai[186].RL.V'</f>
        <v>125</v>
      </c>
      <c r="K190" s="207">
        <f>[1]!'ai[186].RH.V'</f>
        <v>210</v>
      </c>
      <c r="L190" s="207">
        <f>[1]!'ai[186].L.V'</f>
        <v>0</v>
      </c>
      <c r="M190" s="207">
        <f>[1]!'ai[186].H.V'</f>
        <v>0</v>
      </c>
      <c r="N190" s="207">
        <f>[1]!'ai[186].LL.V'</f>
        <v>0</v>
      </c>
      <c r="O190" s="207">
        <f>[1]!'ai[186].HH.V'</f>
        <v>0</v>
      </c>
      <c r="P190" s="223">
        <v>4</v>
      </c>
      <c r="Q190" s="224">
        <v>3</v>
      </c>
      <c r="R190" s="184"/>
      <c r="T190" s="207">
        <f>[1]!'ai[186].group'</f>
        <v>4</v>
      </c>
      <c r="X190" s="207">
        <f>[1]!'ai[186].EN'</f>
        <v>1</v>
      </c>
      <c r="Y190" s="207">
        <f>[1]!'ai[186].i'</f>
        <v>1.2559890000000001E-3</v>
      </c>
      <c r="Z190" s="207">
        <f>[1]!'ai[186].isForce'</f>
        <v>0</v>
      </c>
      <c r="AA190" s="207" t="e">
        <f>[1]!'ai[186].vRaw'</f>
        <v>#REF!</v>
      </c>
      <c r="AB190" s="207">
        <f>[1]!'ai[186].isCorrect'</f>
        <v>0</v>
      </c>
      <c r="AC190" s="207" t="e">
        <f>[1]!'ai[186].vCorrect'</f>
        <v>#REF!</v>
      </c>
      <c r="AD190" s="207">
        <f>[1]!'ai[186].v'</f>
        <v>0</v>
      </c>
      <c r="AE190" s="207" t="e">
        <f>[1]!'ai[186].isCut'</f>
        <v>#REF!</v>
      </c>
      <c r="AF190" s="207" t="e">
        <f>[1]!'ai[186].vCut'</f>
        <v>#REF!</v>
      </c>
      <c r="AG190" s="208"/>
      <c r="AH190" s="207">
        <f>[1]!'ai[186].break.sgn'</f>
        <v>1</v>
      </c>
      <c r="AI190" s="208"/>
      <c r="AJ190" s="207">
        <f>[1]!'ai[186].ZL'</f>
        <v>0</v>
      </c>
      <c r="AK190" s="207">
        <f>[1]!'ai[186].ZH'</f>
        <v>300</v>
      </c>
      <c r="AL190" s="208"/>
      <c r="AM190" s="207">
        <f>[1]!'ai[186].RL.EN'</f>
        <v>1</v>
      </c>
      <c r="AN190" s="207">
        <f>[1]!'ai[186].RL.V'</f>
        <v>125</v>
      </c>
      <c r="AO190" s="207">
        <f>[1]!'ai[186].RL.fix'</f>
        <v>0</v>
      </c>
      <c r="AP190" s="208"/>
      <c r="AQ190" s="207">
        <f>[1]!'ai[186].RH.EN'</f>
        <v>1</v>
      </c>
      <c r="AR190" s="207">
        <f>[1]!'ai[186].RH.V'</f>
        <v>210</v>
      </c>
      <c r="AS190" s="207">
        <f>[1]!'ai[186].RH.fix'</f>
        <v>0</v>
      </c>
      <c r="AT190" s="208"/>
      <c r="AU190" s="207">
        <f>[1]!'ai[186].L.EN'</f>
        <v>0</v>
      </c>
      <c r="AV190" s="207">
        <f>[1]!'ai[186].L.V'</f>
        <v>0</v>
      </c>
      <c r="AW190" s="207">
        <f>[1]!'ai[186].L.fix'</f>
        <v>0</v>
      </c>
      <c r="AX190" s="208"/>
      <c r="AY190" s="207">
        <f>[1]!'ai[186].H.EN'</f>
        <v>0</v>
      </c>
      <c r="AZ190" s="207">
        <f>[1]!'ai[186].H.V'</f>
        <v>0</v>
      </c>
      <c r="BA190" s="207">
        <f>[1]!'ai[186].H.fix'</f>
        <v>0</v>
      </c>
      <c r="BB190" s="208"/>
      <c r="BC190" s="207">
        <f>[1]!'ai[186].LL.EN'</f>
        <v>0</v>
      </c>
      <c r="BD190" s="207">
        <f>[1]!'ai[186].LL.V'</f>
        <v>0</v>
      </c>
      <c r="BE190" s="207">
        <f>[1]!'ai[186].LL.fix'</f>
        <v>0</v>
      </c>
      <c r="BF190" s="208"/>
      <c r="BG190" s="207">
        <f>[1]!'ai[186].HH.EN'</f>
        <v>0</v>
      </c>
      <c r="BH190" s="207">
        <f>[1]!'ai[186].HH.V'</f>
        <v>0</v>
      </c>
      <c r="BI190" s="207">
        <f>[1]!'ai[186].HH.fix'</f>
        <v>0</v>
      </c>
      <c r="BJ190" s="209"/>
      <c r="BK190" s="207">
        <f>[1]!'ai[186].group'</f>
        <v>4</v>
      </c>
      <c r="BL190" s="207">
        <f>[1]!'ai[186].state'</f>
        <v>4</v>
      </c>
      <c r="BM190" s="207">
        <f>[1]!'ai[186].isInvScale'</f>
        <v>0</v>
      </c>
    </row>
    <row r="191" spans="1:65">
      <c r="A191" s="445"/>
      <c r="B191" s="446"/>
      <c r="C191" s="221">
        <v>11</v>
      </c>
      <c r="D191" s="221">
        <v>11</v>
      </c>
      <c r="E191" s="222" t="s">
        <v>388</v>
      </c>
      <c r="F191" s="222" t="s">
        <v>389</v>
      </c>
      <c r="G191" s="207">
        <f>[1]!'ai[187].ZL'</f>
        <v>0</v>
      </c>
      <c r="H191" s="207">
        <f>[1]!'ai[187].ZH'</f>
        <v>100</v>
      </c>
      <c r="I191" s="221" t="s">
        <v>366</v>
      </c>
      <c r="J191" s="207">
        <f>[1]!'ai[187].RL.V'</f>
        <v>0</v>
      </c>
      <c r="K191" s="207">
        <f>[1]!'ai[187].RH.V'</f>
        <v>0</v>
      </c>
      <c r="L191" s="207">
        <f>[1]!'ai[187].L.V'</f>
        <v>0</v>
      </c>
      <c r="M191" s="207">
        <f>[1]!'ai[187].H.V'</f>
        <v>0</v>
      </c>
      <c r="N191" s="207">
        <f>[1]!'ai[187].LL.V'</f>
        <v>0</v>
      </c>
      <c r="O191" s="207">
        <f>[1]!'ai[187].HH.V'</f>
        <v>0</v>
      </c>
      <c r="P191" s="223">
        <v>4</v>
      </c>
      <c r="Q191" s="224">
        <v>3</v>
      </c>
      <c r="R191" s="184"/>
      <c r="T191" s="207">
        <f>[1]!'ai[187].group'</f>
        <v>4</v>
      </c>
      <c r="X191" s="207">
        <f>[1]!'ai[187].EN'</f>
        <v>1</v>
      </c>
      <c r="Y191" s="207">
        <f>[1]!'ai[187].i'</f>
        <v>1.2559890000000001E-3</v>
      </c>
      <c r="Z191" s="207">
        <f>[1]!'ai[187].isForce'</f>
        <v>0</v>
      </c>
      <c r="AA191" s="207" t="e">
        <f>[1]!'ai[187].vRaw'</f>
        <v>#REF!</v>
      </c>
      <c r="AB191" s="207">
        <f>[1]!'ai[187].isCorrect'</f>
        <v>0</v>
      </c>
      <c r="AC191" s="207" t="e">
        <f>[1]!'ai[187].vCorrect'</f>
        <v>#REF!</v>
      </c>
      <c r="AD191" s="207">
        <f>[1]!'ai[187].v'</f>
        <v>0</v>
      </c>
      <c r="AE191" s="207" t="e">
        <f>[1]!'ai[187].isCut'</f>
        <v>#REF!</v>
      </c>
      <c r="AF191" s="207" t="e">
        <f>[1]!'ai[187].vCut'</f>
        <v>#REF!</v>
      </c>
      <c r="AG191" s="208"/>
      <c r="AH191" s="207">
        <f>[1]!'ai[187].break.sgn'</f>
        <v>1</v>
      </c>
      <c r="AI191" s="208"/>
      <c r="AJ191" s="207">
        <f>[1]!'ai[187].ZL'</f>
        <v>0</v>
      </c>
      <c r="AK191" s="207">
        <f>[1]!'ai[187].ZH'</f>
        <v>100</v>
      </c>
      <c r="AL191" s="208"/>
      <c r="AM191" s="207">
        <f>[1]!'ai[187].RL.EN'</f>
        <v>0</v>
      </c>
      <c r="AN191" s="207">
        <f>[1]!'ai[187].RL.V'</f>
        <v>0</v>
      </c>
      <c r="AO191" s="207">
        <f>[1]!'ai[187].RL.fix'</f>
        <v>0</v>
      </c>
      <c r="AP191" s="208"/>
      <c r="AQ191" s="207">
        <f>[1]!'ai[187].RH.EN'</f>
        <v>0</v>
      </c>
      <c r="AR191" s="207">
        <f>[1]!'ai[187].RH.V'</f>
        <v>0</v>
      </c>
      <c r="AS191" s="207">
        <f>[1]!'ai[187].RH.fix'</f>
        <v>0</v>
      </c>
      <c r="AT191" s="208"/>
      <c r="AU191" s="207">
        <f>[1]!'ai[187].L.EN'</f>
        <v>0</v>
      </c>
      <c r="AV191" s="207">
        <f>[1]!'ai[187].L.V'</f>
        <v>0</v>
      </c>
      <c r="AW191" s="207">
        <f>[1]!'ai[187].L.fix'</f>
        <v>0</v>
      </c>
      <c r="AX191" s="208"/>
      <c r="AY191" s="207">
        <f>[1]!'ai[187].H.EN'</f>
        <v>0</v>
      </c>
      <c r="AZ191" s="207">
        <f>[1]!'ai[187].H.V'</f>
        <v>0</v>
      </c>
      <c r="BA191" s="207">
        <f>[1]!'ai[187].H.fix'</f>
        <v>0</v>
      </c>
      <c r="BB191" s="208"/>
      <c r="BC191" s="207">
        <f>[1]!'ai[187].LL.EN'</f>
        <v>0</v>
      </c>
      <c r="BD191" s="207">
        <f>[1]!'ai[187].LL.V'</f>
        <v>0</v>
      </c>
      <c r="BE191" s="207">
        <f>[1]!'ai[187].LL.fix'</f>
        <v>0</v>
      </c>
      <c r="BF191" s="208"/>
      <c r="BG191" s="207">
        <f>[1]!'ai[187].HH.EN'</f>
        <v>0</v>
      </c>
      <c r="BH191" s="207">
        <f>[1]!'ai[187].HH.V'</f>
        <v>0</v>
      </c>
      <c r="BI191" s="207">
        <f>[1]!'ai[187].HH.fix'</f>
        <v>0</v>
      </c>
      <c r="BJ191" s="209"/>
      <c r="BK191" s="207">
        <f>[1]!'ai[187].group'</f>
        <v>4</v>
      </c>
      <c r="BL191" s="207">
        <f>[1]!'ai[187].state'</f>
        <v>4</v>
      </c>
      <c r="BM191" s="207">
        <f>[1]!'ai[187].isInvScale'</f>
        <v>0</v>
      </c>
    </row>
    <row r="192" spans="1:65">
      <c r="A192" s="445"/>
      <c r="B192" s="446"/>
      <c r="C192" s="221">
        <v>12</v>
      </c>
      <c r="D192" s="221">
        <v>12</v>
      </c>
      <c r="E192" s="222" t="s">
        <v>390</v>
      </c>
      <c r="F192" s="222" t="s">
        <v>391</v>
      </c>
      <c r="G192" s="207">
        <f>[1]!'ai[188].ZL'</f>
        <v>0</v>
      </c>
      <c r="H192" s="207">
        <f>[1]!'ai[188].ZH'</f>
        <v>0</v>
      </c>
      <c r="I192" s="221" t="s">
        <v>366</v>
      </c>
      <c r="J192" s="207">
        <f>[1]!'ai[188].RL.V'</f>
        <v>0</v>
      </c>
      <c r="K192" s="207">
        <f>[1]!'ai[188].RH.V'</f>
        <v>0</v>
      </c>
      <c r="L192" s="207">
        <f>[1]!'ai[188].L.V'</f>
        <v>0</v>
      </c>
      <c r="M192" s="207">
        <f>[1]!'ai[188].H.V'</f>
        <v>0</v>
      </c>
      <c r="N192" s="207">
        <f>[1]!'ai[188].LL.V'</f>
        <v>0</v>
      </c>
      <c r="O192" s="207">
        <f>[1]!'ai[188].HH.V'</f>
        <v>0</v>
      </c>
      <c r="P192" s="223">
        <v>4</v>
      </c>
      <c r="Q192" s="224">
        <v>3</v>
      </c>
      <c r="R192" s="184"/>
      <c r="T192" s="207">
        <f>[1]!'ai[188].group'</f>
        <v>0</v>
      </c>
      <c r="X192" s="207">
        <f>[1]!'ai[188].EN'</f>
        <v>0</v>
      </c>
      <c r="Y192" s="207">
        <f>[1]!'ai[188].i'</f>
        <v>0</v>
      </c>
      <c r="Z192" s="207">
        <f>[1]!'ai[188].isForce'</f>
        <v>0</v>
      </c>
      <c r="AA192" s="207" t="e">
        <f>[1]!'ai[188].vRaw'</f>
        <v>#REF!</v>
      </c>
      <c r="AB192" s="207">
        <f>[1]!'ai[188].isCorrect'</f>
        <v>0</v>
      </c>
      <c r="AC192" s="207" t="e">
        <f>[1]!'ai[188].vCorrect'</f>
        <v>#REF!</v>
      </c>
      <c r="AD192" s="207">
        <f>[1]!'ai[188].v'</f>
        <v>0</v>
      </c>
      <c r="AE192" s="207" t="e">
        <f>[1]!'ai[188].isCut'</f>
        <v>#REF!</v>
      </c>
      <c r="AF192" s="207" t="e">
        <f>[1]!'ai[188].vCut'</f>
        <v>#REF!</v>
      </c>
      <c r="AG192" s="208"/>
      <c r="AH192" s="207">
        <f>[1]!'ai[188].break.sgn'</f>
        <v>0</v>
      </c>
      <c r="AI192" s="208"/>
      <c r="AJ192" s="207">
        <f>[1]!'ai[188].ZL'</f>
        <v>0</v>
      </c>
      <c r="AK192" s="207">
        <f>[1]!'ai[188].ZH'</f>
        <v>0</v>
      </c>
      <c r="AL192" s="208"/>
      <c r="AM192" s="207">
        <f>[1]!'ai[188].RL.EN'</f>
        <v>0</v>
      </c>
      <c r="AN192" s="207">
        <f>[1]!'ai[188].RL.V'</f>
        <v>0</v>
      </c>
      <c r="AO192" s="207">
        <f>[1]!'ai[188].RL.fix'</f>
        <v>0</v>
      </c>
      <c r="AP192" s="208"/>
      <c r="AQ192" s="207">
        <f>[1]!'ai[188].RH.EN'</f>
        <v>0</v>
      </c>
      <c r="AR192" s="207">
        <f>[1]!'ai[188].RH.V'</f>
        <v>0</v>
      </c>
      <c r="AS192" s="207">
        <f>[1]!'ai[188].RH.fix'</f>
        <v>0</v>
      </c>
      <c r="AT192" s="208"/>
      <c r="AU192" s="207">
        <f>[1]!'ai[188].L.EN'</f>
        <v>0</v>
      </c>
      <c r="AV192" s="207">
        <f>[1]!'ai[188].L.V'</f>
        <v>0</v>
      </c>
      <c r="AW192" s="207">
        <f>[1]!'ai[188].L.fix'</f>
        <v>0</v>
      </c>
      <c r="AX192" s="208"/>
      <c r="AY192" s="207">
        <f>[1]!'ai[188].H.EN'</f>
        <v>0</v>
      </c>
      <c r="AZ192" s="207">
        <f>[1]!'ai[188].H.V'</f>
        <v>0</v>
      </c>
      <c r="BA192" s="207">
        <f>[1]!'ai[188].H.fix'</f>
        <v>0</v>
      </c>
      <c r="BB192" s="208"/>
      <c r="BC192" s="207">
        <f>[1]!'ai[188].LL.EN'</f>
        <v>0</v>
      </c>
      <c r="BD192" s="207">
        <f>[1]!'ai[188].LL.V'</f>
        <v>0</v>
      </c>
      <c r="BE192" s="207">
        <f>[1]!'ai[188].LL.fix'</f>
        <v>0</v>
      </c>
      <c r="BF192" s="208"/>
      <c r="BG192" s="207">
        <f>[1]!'ai[188].HH.EN'</f>
        <v>0</v>
      </c>
      <c r="BH192" s="207">
        <f>[1]!'ai[188].HH.V'</f>
        <v>0</v>
      </c>
      <c r="BI192" s="207">
        <f>[1]!'ai[188].HH.fix'</f>
        <v>0</v>
      </c>
      <c r="BJ192" s="209"/>
      <c r="BK192" s="207">
        <f>[1]!'ai[188].group'</f>
        <v>0</v>
      </c>
      <c r="BL192" s="207">
        <f>[1]!'ai[188].state'</f>
        <v>4</v>
      </c>
      <c r="BM192" s="207">
        <f>[1]!'ai[188].isInvScale'</f>
        <v>0</v>
      </c>
    </row>
    <row r="193" spans="1:65">
      <c r="A193" s="445"/>
      <c r="B193" s="446"/>
      <c r="C193" s="221">
        <v>13</v>
      </c>
      <c r="D193" s="221">
        <v>13</v>
      </c>
      <c r="E193" s="222" t="s">
        <v>392</v>
      </c>
      <c r="F193" s="222" t="s">
        <v>393</v>
      </c>
      <c r="G193" s="207">
        <f>[1]!'ai[189].ZL'</f>
        <v>0</v>
      </c>
      <c r="H193" s="207">
        <f>[1]!'ai[189].ZH'</f>
        <v>0</v>
      </c>
      <c r="I193" s="221" t="s">
        <v>366</v>
      </c>
      <c r="J193" s="207">
        <f>[1]!'ai[189].RL.V'</f>
        <v>0</v>
      </c>
      <c r="K193" s="207">
        <f>[1]!'ai[189].RH.V'</f>
        <v>0</v>
      </c>
      <c r="L193" s="207">
        <f>[1]!'ai[189].L.V'</f>
        <v>0</v>
      </c>
      <c r="M193" s="207">
        <f>[1]!'ai[189].H.V'</f>
        <v>0</v>
      </c>
      <c r="N193" s="207">
        <f>[1]!'ai[189].LL.V'</f>
        <v>0</v>
      </c>
      <c r="O193" s="207">
        <f>[1]!'ai[189].HH.V'</f>
        <v>0</v>
      </c>
      <c r="P193" s="223">
        <v>4</v>
      </c>
      <c r="Q193" s="224">
        <v>3</v>
      </c>
      <c r="R193" s="184"/>
      <c r="T193" s="207">
        <f>[1]!'ai[189].group'</f>
        <v>0</v>
      </c>
      <c r="X193" s="207">
        <f>[1]!'ai[189].EN'</f>
        <v>0</v>
      </c>
      <c r="Y193" s="207">
        <f>[1]!'ai[189].i'</f>
        <v>0</v>
      </c>
      <c r="Z193" s="207">
        <f>[1]!'ai[189].isForce'</f>
        <v>0</v>
      </c>
      <c r="AA193" s="207" t="e">
        <f>[1]!'ai[189].vRaw'</f>
        <v>#REF!</v>
      </c>
      <c r="AB193" s="207">
        <f>[1]!'ai[189].isCorrect'</f>
        <v>0</v>
      </c>
      <c r="AC193" s="207" t="e">
        <f>[1]!'ai[189].vCorrect'</f>
        <v>#REF!</v>
      </c>
      <c r="AD193" s="207">
        <f>[1]!'ai[189].v'</f>
        <v>0</v>
      </c>
      <c r="AE193" s="207" t="e">
        <f>[1]!'ai[189].isCut'</f>
        <v>#REF!</v>
      </c>
      <c r="AF193" s="207" t="e">
        <f>[1]!'ai[189].vCut'</f>
        <v>#REF!</v>
      </c>
      <c r="AG193" s="208"/>
      <c r="AH193" s="207">
        <f>[1]!'ai[189].break.sgn'</f>
        <v>0</v>
      </c>
      <c r="AI193" s="208"/>
      <c r="AJ193" s="207">
        <f>[1]!'ai[189].ZL'</f>
        <v>0</v>
      </c>
      <c r="AK193" s="207">
        <f>[1]!'ai[189].ZH'</f>
        <v>0</v>
      </c>
      <c r="AL193" s="208"/>
      <c r="AM193" s="207">
        <f>[1]!'ai[189].RL.EN'</f>
        <v>0</v>
      </c>
      <c r="AN193" s="207">
        <f>[1]!'ai[189].RL.V'</f>
        <v>0</v>
      </c>
      <c r="AO193" s="207">
        <f>[1]!'ai[189].RL.fix'</f>
        <v>0</v>
      </c>
      <c r="AP193" s="208"/>
      <c r="AQ193" s="207">
        <f>[1]!'ai[189].RH.EN'</f>
        <v>0</v>
      </c>
      <c r="AR193" s="207">
        <f>[1]!'ai[189].RH.V'</f>
        <v>0</v>
      </c>
      <c r="AS193" s="207">
        <f>[1]!'ai[189].RH.fix'</f>
        <v>0</v>
      </c>
      <c r="AT193" s="208"/>
      <c r="AU193" s="207">
        <f>[1]!'ai[189].L.EN'</f>
        <v>0</v>
      </c>
      <c r="AV193" s="207">
        <f>[1]!'ai[189].L.V'</f>
        <v>0</v>
      </c>
      <c r="AW193" s="207">
        <f>[1]!'ai[189].L.fix'</f>
        <v>0</v>
      </c>
      <c r="AX193" s="208"/>
      <c r="AY193" s="207">
        <f>[1]!'ai[189].H.EN'</f>
        <v>0</v>
      </c>
      <c r="AZ193" s="207">
        <f>[1]!'ai[189].H.V'</f>
        <v>0</v>
      </c>
      <c r="BA193" s="207">
        <f>[1]!'ai[189].H.fix'</f>
        <v>0</v>
      </c>
      <c r="BB193" s="208"/>
      <c r="BC193" s="207">
        <f>[1]!'ai[189].LL.EN'</f>
        <v>0</v>
      </c>
      <c r="BD193" s="207">
        <f>[1]!'ai[189].LL.V'</f>
        <v>0</v>
      </c>
      <c r="BE193" s="207">
        <f>[1]!'ai[189].LL.fix'</f>
        <v>0</v>
      </c>
      <c r="BF193" s="208"/>
      <c r="BG193" s="207">
        <f>[1]!'ai[189].HH.EN'</f>
        <v>0</v>
      </c>
      <c r="BH193" s="207">
        <f>[1]!'ai[189].HH.V'</f>
        <v>0</v>
      </c>
      <c r="BI193" s="207">
        <f>[1]!'ai[189].HH.fix'</f>
        <v>0</v>
      </c>
      <c r="BJ193" s="209"/>
      <c r="BK193" s="207">
        <f>[1]!'ai[189].group'</f>
        <v>0</v>
      </c>
      <c r="BL193" s="207">
        <f>[1]!'ai[189].state'</f>
        <v>4</v>
      </c>
      <c r="BM193" s="207">
        <f>[1]!'ai[189].isInvScale'</f>
        <v>0</v>
      </c>
    </row>
    <row r="194" spans="1:65">
      <c r="A194" s="445"/>
      <c r="B194" s="446"/>
      <c r="C194" s="221">
        <v>14</v>
      </c>
      <c r="D194" s="221">
        <v>14</v>
      </c>
      <c r="E194" s="222" t="s">
        <v>394</v>
      </c>
      <c r="F194" s="222" t="s">
        <v>395</v>
      </c>
      <c r="G194" s="207">
        <f>[1]!'ai[190].ZL'</f>
        <v>0</v>
      </c>
      <c r="H194" s="207">
        <f>[1]!'ai[190].ZH'</f>
        <v>0</v>
      </c>
      <c r="I194" s="221" t="s">
        <v>366</v>
      </c>
      <c r="J194" s="207">
        <f>[1]!'ai[190].RL.V'</f>
        <v>0</v>
      </c>
      <c r="K194" s="207">
        <f>[1]!'ai[190].RH.V'</f>
        <v>0</v>
      </c>
      <c r="L194" s="207">
        <f>[1]!'ai[190].L.V'</f>
        <v>0</v>
      </c>
      <c r="M194" s="207">
        <f>[1]!'ai[190].H.V'</f>
        <v>0</v>
      </c>
      <c r="N194" s="207">
        <f>[1]!'ai[190].LL.V'</f>
        <v>0</v>
      </c>
      <c r="O194" s="207">
        <f>[1]!'ai[190].HH.V'</f>
        <v>0</v>
      </c>
      <c r="P194" s="223">
        <v>4</v>
      </c>
      <c r="Q194" s="224">
        <v>3</v>
      </c>
      <c r="R194" s="184"/>
      <c r="T194" s="207">
        <f>[1]!'ai[190].group'</f>
        <v>0</v>
      </c>
      <c r="X194" s="207">
        <f>[1]!'ai[190].EN'</f>
        <v>0</v>
      </c>
      <c r="Y194" s="207">
        <f>[1]!'ai[190].i'</f>
        <v>0</v>
      </c>
      <c r="Z194" s="207">
        <f>[1]!'ai[190].isForce'</f>
        <v>0</v>
      </c>
      <c r="AA194" s="207" t="e">
        <f>[1]!'ai[190].vRaw'</f>
        <v>#REF!</v>
      </c>
      <c r="AB194" s="207">
        <f>[1]!'ai[190].isCorrect'</f>
        <v>0</v>
      </c>
      <c r="AC194" s="207" t="e">
        <f>[1]!'ai[190].vCorrect'</f>
        <v>#REF!</v>
      </c>
      <c r="AD194" s="207">
        <f>[1]!'ai[190].v'</f>
        <v>0</v>
      </c>
      <c r="AE194" s="207" t="e">
        <f>[1]!'ai[190].isCut'</f>
        <v>#REF!</v>
      </c>
      <c r="AF194" s="207" t="e">
        <f>[1]!'ai[190].vCut'</f>
        <v>#REF!</v>
      </c>
      <c r="AG194" s="208"/>
      <c r="AH194" s="207">
        <f>[1]!'ai[190].break.sgn'</f>
        <v>0</v>
      </c>
      <c r="AI194" s="208"/>
      <c r="AJ194" s="207">
        <f>[1]!'ai[190].ZL'</f>
        <v>0</v>
      </c>
      <c r="AK194" s="207">
        <f>[1]!'ai[190].ZH'</f>
        <v>0</v>
      </c>
      <c r="AL194" s="208"/>
      <c r="AM194" s="207">
        <f>[1]!'ai[190].RL.EN'</f>
        <v>0</v>
      </c>
      <c r="AN194" s="207">
        <f>[1]!'ai[190].RL.V'</f>
        <v>0</v>
      </c>
      <c r="AO194" s="207">
        <f>[1]!'ai[190].RL.fix'</f>
        <v>0</v>
      </c>
      <c r="AP194" s="208"/>
      <c r="AQ194" s="207">
        <f>[1]!'ai[190].RH.EN'</f>
        <v>0</v>
      </c>
      <c r="AR194" s="207">
        <f>[1]!'ai[190].RH.V'</f>
        <v>0</v>
      </c>
      <c r="AS194" s="207">
        <f>[1]!'ai[190].RH.fix'</f>
        <v>0</v>
      </c>
      <c r="AT194" s="208"/>
      <c r="AU194" s="207">
        <f>[1]!'ai[190].L.EN'</f>
        <v>0</v>
      </c>
      <c r="AV194" s="207">
        <f>[1]!'ai[190].L.V'</f>
        <v>0</v>
      </c>
      <c r="AW194" s="207">
        <f>[1]!'ai[190].L.fix'</f>
        <v>0</v>
      </c>
      <c r="AX194" s="208"/>
      <c r="AY194" s="207">
        <f>[1]!'ai[190].H.EN'</f>
        <v>0</v>
      </c>
      <c r="AZ194" s="207">
        <f>[1]!'ai[190].H.V'</f>
        <v>0</v>
      </c>
      <c r="BA194" s="207">
        <f>[1]!'ai[190].H.fix'</f>
        <v>0</v>
      </c>
      <c r="BB194" s="208"/>
      <c r="BC194" s="207">
        <f>[1]!'ai[190].LL.EN'</f>
        <v>0</v>
      </c>
      <c r="BD194" s="207">
        <f>[1]!'ai[190].LL.V'</f>
        <v>0</v>
      </c>
      <c r="BE194" s="207">
        <f>[1]!'ai[190].LL.fix'</f>
        <v>0</v>
      </c>
      <c r="BF194" s="208"/>
      <c r="BG194" s="207">
        <f>[1]!'ai[190].HH.EN'</f>
        <v>0</v>
      </c>
      <c r="BH194" s="207">
        <f>[1]!'ai[190].HH.V'</f>
        <v>0</v>
      </c>
      <c r="BI194" s="207">
        <f>[1]!'ai[190].HH.fix'</f>
        <v>0</v>
      </c>
      <c r="BJ194" s="210"/>
      <c r="BK194" s="207">
        <f>[1]!'ai[190].group'</f>
        <v>0</v>
      </c>
      <c r="BL194" s="207">
        <f>[1]!'ai[190].state'</f>
        <v>4</v>
      </c>
      <c r="BM194" s="207">
        <f>[1]!'ai[190].isInvScale'</f>
        <v>0</v>
      </c>
    </row>
    <row r="195" spans="1:65" ht="15.75" thickBot="1">
      <c r="A195" s="445"/>
      <c r="B195" s="446"/>
      <c r="C195" s="225">
        <v>15</v>
      </c>
      <c r="D195" s="225">
        <v>15</v>
      </c>
      <c r="E195" s="226" t="s">
        <v>396</v>
      </c>
      <c r="F195" s="226" t="s">
        <v>397</v>
      </c>
      <c r="G195" s="207">
        <f>[1]!'ai[191].ZL'</f>
        <v>0</v>
      </c>
      <c r="H195" s="207">
        <f>[1]!'ai[191].ZH'</f>
        <v>0</v>
      </c>
      <c r="I195" s="225" t="s">
        <v>366</v>
      </c>
      <c r="J195" s="207">
        <f>[1]!'ai[191].RL.V'</f>
        <v>0</v>
      </c>
      <c r="K195" s="207">
        <f>[1]!'ai[191].RH.V'</f>
        <v>0</v>
      </c>
      <c r="L195" s="207">
        <f>[1]!'ai[191].L.V'</f>
        <v>0</v>
      </c>
      <c r="M195" s="207">
        <f>[1]!'ai[191].H.V'</f>
        <v>0</v>
      </c>
      <c r="N195" s="207">
        <f>[1]!'ai[191].LL.V'</f>
        <v>0</v>
      </c>
      <c r="O195" s="207">
        <f>[1]!'ai[191].HH.V'</f>
        <v>0</v>
      </c>
      <c r="P195" s="227">
        <v>4</v>
      </c>
      <c r="Q195" s="228">
        <v>3</v>
      </c>
      <c r="R195" s="190"/>
      <c r="T195" s="207">
        <f>[1]!'ai[191].group'</f>
        <v>0</v>
      </c>
      <c r="X195" s="207">
        <f>[1]!'ai[191].EN'</f>
        <v>0</v>
      </c>
      <c r="Y195" s="207">
        <f>[1]!'ai[191].i'</f>
        <v>0</v>
      </c>
      <c r="Z195" s="207">
        <f>[1]!'ai[191].isForce'</f>
        <v>0</v>
      </c>
      <c r="AA195" s="207" t="e">
        <f>[1]!'ai[191].vRaw'</f>
        <v>#REF!</v>
      </c>
      <c r="AB195" s="207">
        <f>[1]!'ai[191].isCorrect'</f>
        <v>0</v>
      </c>
      <c r="AC195" s="207" t="e">
        <f>[1]!'ai[191].vCorrect'</f>
        <v>#REF!</v>
      </c>
      <c r="AD195" s="207">
        <f>[1]!'ai[191].v'</f>
        <v>0</v>
      </c>
      <c r="AE195" s="207" t="e">
        <f>[1]!'ai[191].isCut'</f>
        <v>#REF!</v>
      </c>
      <c r="AF195" s="207" t="e">
        <f>[1]!'ai[191].vCut'</f>
        <v>#REF!</v>
      </c>
      <c r="AG195" s="208"/>
      <c r="AH195" s="207">
        <f>[1]!'ai[191].break.sgn'</f>
        <v>0</v>
      </c>
      <c r="AI195" s="208"/>
      <c r="AJ195" s="207">
        <f>[1]!'ai[191].ZL'</f>
        <v>0</v>
      </c>
      <c r="AK195" s="207">
        <f>[1]!'ai[191].ZH'</f>
        <v>0</v>
      </c>
      <c r="AL195" s="208"/>
      <c r="AM195" s="207">
        <f>[1]!'ai[191].RL.EN'</f>
        <v>0</v>
      </c>
      <c r="AN195" s="207">
        <f>[1]!'ai[191].RL.V'</f>
        <v>0</v>
      </c>
      <c r="AO195" s="207">
        <f>[1]!'ai[191].RL.fix'</f>
        <v>0</v>
      </c>
      <c r="AP195" s="208"/>
      <c r="AQ195" s="207">
        <f>[1]!'ai[191].RH.EN'</f>
        <v>0</v>
      </c>
      <c r="AR195" s="207">
        <f>[1]!'ai[191].RH.V'</f>
        <v>0</v>
      </c>
      <c r="AS195" s="207">
        <f>[1]!'ai[191].RH.fix'</f>
        <v>0</v>
      </c>
      <c r="AT195" s="208"/>
      <c r="AU195" s="207">
        <f>[1]!'ai[191].L.EN'</f>
        <v>0</v>
      </c>
      <c r="AV195" s="207">
        <f>[1]!'ai[191].L.V'</f>
        <v>0</v>
      </c>
      <c r="AW195" s="207">
        <f>[1]!'ai[191].L.fix'</f>
        <v>0</v>
      </c>
      <c r="AX195" s="208"/>
      <c r="AY195" s="207">
        <f>[1]!'ai[191].H.EN'</f>
        <v>0</v>
      </c>
      <c r="AZ195" s="207">
        <f>[1]!'ai[191].H.V'</f>
        <v>0</v>
      </c>
      <c r="BA195" s="207">
        <f>[1]!'ai[191].H.fix'</f>
        <v>0</v>
      </c>
      <c r="BB195" s="208"/>
      <c r="BC195" s="207">
        <f>[1]!'ai[191].LL.EN'</f>
        <v>0</v>
      </c>
      <c r="BD195" s="207">
        <f>[1]!'ai[191].LL.V'</f>
        <v>0</v>
      </c>
      <c r="BE195" s="207">
        <f>[1]!'ai[191].LL.fix'</f>
        <v>0</v>
      </c>
      <c r="BF195" s="208"/>
      <c r="BG195" s="207">
        <f>[1]!'ai[191].HH.EN'</f>
        <v>0</v>
      </c>
      <c r="BH195" s="207">
        <f>[1]!'ai[191].HH.V'</f>
        <v>0</v>
      </c>
      <c r="BI195" s="207">
        <f>[1]!'ai[191].HH.fix'</f>
        <v>0</v>
      </c>
      <c r="BJ195" s="210"/>
      <c r="BK195" s="207">
        <f>[1]!'ai[191].group'</f>
        <v>0</v>
      </c>
      <c r="BL195" s="207">
        <f>[1]!'ai[191].state'</f>
        <v>4</v>
      </c>
      <c r="BM195" s="207">
        <f>[1]!'ai[191].isInvScale'</f>
        <v>0</v>
      </c>
    </row>
    <row r="196" spans="1:65">
      <c r="A196" s="445" t="s">
        <v>36</v>
      </c>
      <c r="B196" s="446">
        <v>3</v>
      </c>
      <c r="C196" s="216">
        <v>0</v>
      </c>
      <c r="D196" s="216">
        <v>0</v>
      </c>
      <c r="E196" s="217" t="s">
        <v>364</v>
      </c>
      <c r="F196" s="217" t="s">
        <v>365</v>
      </c>
      <c r="G196" s="207">
        <f>[1]!'ai[192].ZL'</f>
        <v>0</v>
      </c>
      <c r="H196" s="207">
        <f>[1]!'ai[192].ZH'</f>
        <v>0</v>
      </c>
      <c r="I196" s="216" t="s">
        <v>366</v>
      </c>
      <c r="J196" s="207">
        <f>[1]!'ai[192].RL.V'</f>
        <v>0</v>
      </c>
      <c r="K196" s="207">
        <f>[1]!'ai[192].RH.V'</f>
        <v>0</v>
      </c>
      <c r="L196" s="207">
        <f>[1]!'ai[192].L.V'</f>
        <v>0</v>
      </c>
      <c r="M196" s="207">
        <f>[1]!'ai[192].H.V'</f>
        <v>0</v>
      </c>
      <c r="N196" s="207">
        <f>[1]!'ai[192].LL.V'</f>
        <v>0</v>
      </c>
      <c r="O196" s="207">
        <f>[1]!'ai[192].HH.V'</f>
        <v>0</v>
      </c>
      <c r="P196" s="218">
        <v>1</v>
      </c>
      <c r="Q196" s="219">
        <v>0</v>
      </c>
      <c r="R196" s="220"/>
      <c r="T196" s="207">
        <f>[1]!'ai[192].group'</f>
        <v>0</v>
      </c>
      <c r="X196" s="207">
        <f>[1]!'ai[192].EN'</f>
        <v>0</v>
      </c>
      <c r="Y196" s="207">
        <f>[1]!'ai[192].i'</f>
        <v>0</v>
      </c>
      <c r="Z196" s="207">
        <f>[1]!'ai[192].isForce'</f>
        <v>0</v>
      </c>
      <c r="AA196" s="207" t="e">
        <f>[1]!'ai[192].vRaw'</f>
        <v>#REF!</v>
      </c>
      <c r="AB196" s="207">
        <f>[1]!'ai[192].isCorrect'</f>
        <v>0</v>
      </c>
      <c r="AC196" s="207" t="e">
        <f>[1]!'ai[192].vCorrect'</f>
        <v>#REF!</v>
      </c>
      <c r="AD196" s="207">
        <f>[1]!'ai[192].v'</f>
        <v>0</v>
      </c>
      <c r="AE196" s="207" t="e">
        <f>[1]!'ai[192].isCut'</f>
        <v>#REF!</v>
      </c>
      <c r="AF196" s="207" t="e">
        <f>[1]!'ai[192].vCut'</f>
        <v>#REF!</v>
      </c>
      <c r="AG196" s="208"/>
      <c r="AH196" s="207">
        <f>[1]!'ai[192].break.sgn'</f>
        <v>0</v>
      </c>
      <c r="AI196" s="208"/>
      <c r="AJ196" s="207">
        <f>[1]!'ai[192].ZL'</f>
        <v>0</v>
      </c>
      <c r="AK196" s="207">
        <f>[1]!'ai[192].ZH'</f>
        <v>0</v>
      </c>
      <c r="AL196" s="208"/>
      <c r="AM196" s="207">
        <f>[1]!'ai[192].RL.EN'</f>
        <v>0</v>
      </c>
      <c r="AN196" s="207">
        <f>[1]!'ai[192].RL.V'</f>
        <v>0</v>
      </c>
      <c r="AO196" s="207">
        <f>[1]!'ai[192].RL.fix'</f>
        <v>0</v>
      </c>
      <c r="AP196" s="208"/>
      <c r="AQ196" s="207">
        <f>[1]!'ai[192].RH.EN'</f>
        <v>0</v>
      </c>
      <c r="AR196" s="207">
        <f>[1]!'ai[192].RH.V'</f>
        <v>0</v>
      </c>
      <c r="AS196" s="207">
        <f>[1]!'ai[192].RH.fix'</f>
        <v>0</v>
      </c>
      <c r="AT196" s="208"/>
      <c r="AU196" s="207">
        <f>[1]!'ai[192].L.EN'</f>
        <v>0</v>
      </c>
      <c r="AV196" s="207">
        <f>[1]!'ai[192].L.V'</f>
        <v>0</v>
      </c>
      <c r="AW196" s="207">
        <f>[1]!'ai[192].L.fix'</f>
        <v>0</v>
      </c>
      <c r="AX196" s="208"/>
      <c r="AY196" s="207">
        <f>[1]!'ai[192].H.EN'</f>
        <v>0</v>
      </c>
      <c r="AZ196" s="207">
        <f>[1]!'ai[192].H.V'</f>
        <v>0</v>
      </c>
      <c r="BA196" s="207">
        <f>[1]!'ai[192].H.fix'</f>
        <v>0</v>
      </c>
      <c r="BB196" s="208"/>
      <c r="BC196" s="207">
        <f>[1]!'ai[192].LL.EN'</f>
        <v>0</v>
      </c>
      <c r="BD196" s="207">
        <f>[1]!'ai[192].LL.V'</f>
        <v>0</v>
      </c>
      <c r="BE196" s="207">
        <f>[1]!'ai[192].LL.fix'</f>
        <v>0</v>
      </c>
      <c r="BF196" s="208"/>
      <c r="BG196" s="207">
        <f>[1]!'ai[192].HH.EN'</f>
        <v>0</v>
      </c>
      <c r="BH196" s="207">
        <f>[1]!'ai[192].HH.V'</f>
        <v>0</v>
      </c>
      <c r="BI196" s="207">
        <f>[1]!'ai[192].HH.fix'</f>
        <v>0</v>
      </c>
      <c r="BJ196" s="210"/>
      <c r="BK196" s="207">
        <f>[1]!'ai[192].group'</f>
        <v>0</v>
      </c>
      <c r="BL196" s="207">
        <f>[1]!'ai[192].state'</f>
        <v>4</v>
      </c>
      <c r="BM196" s="207">
        <f>[1]!'ai[192].isInvScale'</f>
        <v>0</v>
      </c>
    </row>
    <row r="197" spans="1:65">
      <c r="A197" s="445"/>
      <c r="B197" s="446"/>
      <c r="C197" s="221">
        <v>1</v>
      </c>
      <c r="D197" s="221">
        <v>1</v>
      </c>
      <c r="E197" s="222" t="s">
        <v>367</v>
      </c>
      <c r="F197" s="222" t="s">
        <v>368</v>
      </c>
      <c r="G197" s="207">
        <f>[1]!'ai[193].ZL'</f>
        <v>0</v>
      </c>
      <c r="H197" s="207">
        <f>[1]!'ai[193].ZH'</f>
        <v>0</v>
      </c>
      <c r="I197" s="221" t="s">
        <v>366</v>
      </c>
      <c r="J197" s="207">
        <f>[1]!'ai[193].RL.V'</f>
        <v>0</v>
      </c>
      <c r="K197" s="207">
        <f>[1]!'ai[193].RH.V'</f>
        <v>0</v>
      </c>
      <c r="L197" s="207">
        <f>[1]!'ai[193].L.V'</f>
        <v>0</v>
      </c>
      <c r="M197" s="207">
        <f>[1]!'ai[193].H.V'</f>
        <v>0</v>
      </c>
      <c r="N197" s="207">
        <f>[1]!'ai[193].LL.V'</f>
        <v>0</v>
      </c>
      <c r="O197" s="207">
        <f>[1]!'ai[193].HH.V'</f>
        <v>0</v>
      </c>
      <c r="P197" s="223">
        <v>1</v>
      </c>
      <c r="Q197" s="224">
        <v>0</v>
      </c>
      <c r="R197" s="184"/>
      <c r="T197" s="207">
        <f>[1]!'ai[193].group'</f>
        <v>0</v>
      </c>
      <c r="X197" s="207">
        <f>[1]!'ai[193].EN'</f>
        <v>0</v>
      </c>
      <c r="Y197" s="207">
        <f>[1]!'ai[193].i'</f>
        <v>0</v>
      </c>
      <c r="Z197" s="207">
        <f>[1]!'ai[193].isForce'</f>
        <v>0</v>
      </c>
      <c r="AA197" s="207" t="e">
        <f>[1]!'ai[193].vRaw'</f>
        <v>#REF!</v>
      </c>
      <c r="AB197" s="207">
        <f>[1]!'ai[193].isCorrect'</f>
        <v>0</v>
      </c>
      <c r="AC197" s="207" t="e">
        <f>[1]!'ai[193].vCorrect'</f>
        <v>#REF!</v>
      </c>
      <c r="AD197" s="207">
        <f>[1]!'ai[193].v'</f>
        <v>0</v>
      </c>
      <c r="AE197" s="207" t="e">
        <f>[1]!'ai[193].isCut'</f>
        <v>#REF!</v>
      </c>
      <c r="AF197" s="207" t="e">
        <f>[1]!'ai[193].vCut'</f>
        <v>#REF!</v>
      </c>
      <c r="AG197" s="208"/>
      <c r="AH197" s="207">
        <f>[1]!'ai[193].break.sgn'</f>
        <v>0</v>
      </c>
      <c r="AI197" s="208"/>
      <c r="AJ197" s="207">
        <f>[1]!'ai[193].ZL'</f>
        <v>0</v>
      </c>
      <c r="AK197" s="207">
        <f>[1]!'ai[193].ZH'</f>
        <v>0</v>
      </c>
      <c r="AL197" s="208"/>
      <c r="AM197" s="207">
        <f>[1]!'ai[193].RL.EN'</f>
        <v>0</v>
      </c>
      <c r="AN197" s="207">
        <f>[1]!'ai[193].RL.V'</f>
        <v>0</v>
      </c>
      <c r="AO197" s="207">
        <f>[1]!'ai[193].RL.fix'</f>
        <v>0</v>
      </c>
      <c r="AP197" s="208"/>
      <c r="AQ197" s="207">
        <f>[1]!'ai[193].RH.EN'</f>
        <v>0</v>
      </c>
      <c r="AR197" s="207">
        <f>[1]!'ai[193].RH.V'</f>
        <v>0</v>
      </c>
      <c r="AS197" s="207">
        <f>[1]!'ai[193].RH.fix'</f>
        <v>0</v>
      </c>
      <c r="AT197" s="208"/>
      <c r="AU197" s="207">
        <f>[1]!'ai[193].L.EN'</f>
        <v>0</v>
      </c>
      <c r="AV197" s="207">
        <f>[1]!'ai[193].L.V'</f>
        <v>0</v>
      </c>
      <c r="AW197" s="207">
        <f>[1]!'ai[193].L.fix'</f>
        <v>0</v>
      </c>
      <c r="AX197" s="208"/>
      <c r="AY197" s="207">
        <f>[1]!'ai[193].H.EN'</f>
        <v>0</v>
      </c>
      <c r="AZ197" s="207">
        <f>[1]!'ai[193].H.V'</f>
        <v>0</v>
      </c>
      <c r="BA197" s="207">
        <f>[1]!'ai[193].H.fix'</f>
        <v>0</v>
      </c>
      <c r="BB197" s="208"/>
      <c r="BC197" s="207">
        <f>[1]!'ai[193].LL.EN'</f>
        <v>0</v>
      </c>
      <c r="BD197" s="207">
        <f>[1]!'ai[193].LL.V'</f>
        <v>0</v>
      </c>
      <c r="BE197" s="207">
        <f>[1]!'ai[193].LL.fix'</f>
        <v>0</v>
      </c>
      <c r="BF197" s="208"/>
      <c r="BG197" s="207">
        <f>[1]!'ai[193].HH.EN'</f>
        <v>0</v>
      </c>
      <c r="BH197" s="207">
        <f>[1]!'ai[193].HH.V'</f>
        <v>0</v>
      </c>
      <c r="BI197" s="207">
        <f>[1]!'ai[193].HH.fix'</f>
        <v>0</v>
      </c>
      <c r="BJ197" s="210"/>
      <c r="BK197" s="207">
        <f>[1]!'ai[193].group'</f>
        <v>0</v>
      </c>
      <c r="BL197" s="207">
        <f>[1]!'ai[193].state'</f>
        <v>4</v>
      </c>
      <c r="BM197" s="207">
        <f>[1]!'ai[193].isInvScale'</f>
        <v>0</v>
      </c>
    </row>
    <row r="198" spans="1:65">
      <c r="A198" s="445"/>
      <c r="B198" s="446"/>
      <c r="C198" s="221">
        <v>2</v>
      </c>
      <c r="D198" s="221">
        <v>2</v>
      </c>
      <c r="E198" s="222" t="s">
        <v>369</v>
      </c>
      <c r="F198" s="222" t="s">
        <v>370</v>
      </c>
      <c r="G198" s="207">
        <f>[1]!'ai[194].ZL'</f>
        <v>0</v>
      </c>
      <c r="H198" s="207">
        <f>[1]!'ai[194].ZH'</f>
        <v>0</v>
      </c>
      <c r="I198" s="221" t="s">
        <v>366</v>
      </c>
      <c r="J198" s="207">
        <f>[1]!'ai[194].RL.V'</f>
        <v>0</v>
      </c>
      <c r="K198" s="207">
        <f>[1]!'ai[194].RH.V'</f>
        <v>0</v>
      </c>
      <c r="L198" s="207">
        <f>[1]!'ai[194].L.V'</f>
        <v>0</v>
      </c>
      <c r="M198" s="207">
        <f>[1]!'ai[194].H.V'</f>
        <v>0</v>
      </c>
      <c r="N198" s="207">
        <f>[1]!'ai[194].LL.V'</f>
        <v>0</v>
      </c>
      <c r="O198" s="207">
        <f>[1]!'ai[194].HH.V'</f>
        <v>0</v>
      </c>
      <c r="P198" s="223">
        <v>1</v>
      </c>
      <c r="Q198" s="224">
        <v>0</v>
      </c>
      <c r="R198" s="184"/>
      <c r="T198" s="207">
        <f>[1]!'ai[194].group'</f>
        <v>0</v>
      </c>
      <c r="X198" s="207">
        <f>[1]!'ai[194].EN'</f>
        <v>0</v>
      </c>
      <c r="Y198" s="207">
        <f>[1]!'ai[194].i'</f>
        <v>0</v>
      </c>
      <c r="Z198" s="207">
        <f>[1]!'ai[194].isForce'</f>
        <v>0</v>
      </c>
      <c r="AA198" s="207" t="e">
        <f>[1]!'ai[194].vRaw'</f>
        <v>#REF!</v>
      </c>
      <c r="AB198" s="207">
        <f>[1]!'ai[194].isCorrect'</f>
        <v>0</v>
      </c>
      <c r="AC198" s="207" t="e">
        <f>[1]!'ai[194].vCorrect'</f>
        <v>#REF!</v>
      </c>
      <c r="AD198" s="207">
        <f>[1]!'ai[194].v'</f>
        <v>0</v>
      </c>
      <c r="AE198" s="207" t="e">
        <f>[1]!'ai[194].isCut'</f>
        <v>#REF!</v>
      </c>
      <c r="AF198" s="207" t="e">
        <f>[1]!'ai[194].vCut'</f>
        <v>#REF!</v>
      </c>
      <c r="AG198" s="208"/>
      <c r="AH198" s="207">
        <f>[1]!'ai[194].break.sgn'</f>
        <v>0</v>
      </c>
      <c r="AI198" s="208"/>
      <c r="AJ198" s="207">
        <f>[1]!'ai[194].ZL'</f>
        <v>0</v>
      </c>
      <c r="AK198" s="207">
        <f>[1]!'ai[194].ZH'</f>
        <v>0</v>
      </c>
      <c r="AL198" s="208"/>
      <c r="AM198" s="207">
        <f>[1]!'ai[194].RL.EN'</f>
        <v>0</v>
      </c>
      <c r="AN198" s="207">
        <f>[1]!'ai[194].RL.V'</f>
        <v>0</v>
      </c>
      <c r="AO198" s="207">
        <f>[1]!'ai[194].RL.fix'</f>
        <v>0</v>
      </c>
      <c r="AP198" s="208"/>
      <c r="AQ198" s="207">
        <f>[1]!'ai[194].RH.EN'</f>
        <v>0</v>
      </c>
      <c r="AR198" s="207">
        <f>[1]!'ai[194].RH.V'</f>
        <v>0</v>
      </c>
      <c r="AS198" s="207">
        <f>[1]!'ai[194].RH.fix'</f>
        <v>0</v>
      </c>
      <c r="AT198" s="208"/>
      <c r="AU198" s="207">
        <f>[1]!'ai[194].L.EN'</f>
        <v>0</v>
      </c>
      <c r="AV198" s="207">
        <f>[1]!'ai[194].L.V'</f>
        <v>0</v>
      </c>
      <c r="AW198" s="207">
        <f>[1]!'ai[194].L.fix'</f>
        <v>0</v>
      </c>
      <c r="AX198" s="208"/>
      <c r="AY198" s="207">
        <f>[1]!'ai[194].H.EN'</f>
        <v>0</v>
      </c>
      <c r="AZ198" s="207">
        <f>[1]!'ai[194].H.V'</f>
        <v>0</v>
      </c>
      <c r="BA198" s="207">
        <f>[1]!'ai[194].H.fix'</f>
        <v>0</v>
      </c>
      <c r="BB198" s="208"/>
      <c r="BC198" s="207">
        <f>[1]!'ai[194].LL.EN'</f>
        <v>0</v>
      </c>
      <c r="BD198" s="207">
        <f>[1]!'ai[194].LL.V'</f>
        <v>0</v>
      </c>
      <c r="BE198" s="207">
        <f>[1]!'ai[194].LL.fix'</f>
        <v>0</v>
      </c>
      <c r="BF198" s="208"/>
      <c r="BG198" s="207">
        <f>[1]!'ai[194].HH.EN'</f>
        <v>0</v>
      </c>
      <c r="BH198" s="207">
        <f>[1]!'ai[194].HH.V'</f>
        <v>0</v>
      </c>
      <c r="BI198" s="207">
        <f>[1]!'ai[194].HH.fix'</f>
        <v>0</v>
      </c>
      <c r="BJ198" s="210"/>
      <c r="BK198" s="207">
        <f>[1]!'ai[194].group'</f>
        <v>0</v>
      </c>
      <c r="BL198" s="207">
        <f>[1]!'ai[194].state'</f>
        <v>4</v>
      </c>
      <c r="BM198" s="207">
        <f>[1]!'ai[194].isInvScale'</f>
        <v>0</v>
      </c>
    </row>
    <row r="199" spans="1:65">
      <c r="A199" s="445"/>
      <c r="B199" s="446"/>
      <c r="C199" s="221">
        <v>3</v>
      </c>
      <c r="D199" s="221">
        <v>3</v>
      </c>
      <c r="E199" s="222" t="s">
        <v>371</v>
      </c>
      <c r="F199" s="222" t="s">
        <v>372</v>
      </c>
      <c r="G199" s="207">
        <f>[1]!'ai[195].ZL'</f>
        <v>0</v>
      </c>
      <c r="H199" s="207">
        <f>[1]!'ai[195].ZH'</f>
        <v>0</v>
      </c>
      <c r="I199" s="221" t="s">
        <v>366</v>
      </c>
      <c r="J199" s="207">
        <f>[1]!'ai[195].RL.V'</f>
        <v>0</v>
      </c>
      <c r="K199" s="207">
        <f>[1]!'ai[195].RH.V'</f>
        <v>0</v>
      </c>
      <c r="L199" s="207">
        <f>[1]!'ai[195].L.V'</f>
        <v>0</v>
      </c>
      <c r="M199" s="207">
        <f>[1]!'ai[195].H.V'</f>
        <v>0</v>
      </c>
      <c r="N199" s="207">
        <f>[1]!'ai[195].LL.V'</f>
        <v>0</v>
      </c>
      <c r="O199" s="207">
        <f>[1]!'ai[195].HH.V'</f>
        <v>0</v>
      </c>
      <c r="P199" s="223">
        <v>1</v>
      </c>
      <c r="Q199" s="224">
        <v>0</v>
      </c>
      <c r="R199" s="184"/>
      <c r="T199" s="207">
        <f>[1]!'ai[195].group'</f>
        <v>0</v>
      </c>
      <c r="X199" s="207">
        <f>[1]!'ai[195].EN'</f>
        <v>0</v>
      </c>
      <c r="Y199" s="207">
        <f>[1]!'ai[195].i'</f>
        <v>0</v>
      </c>
      <c r="Z199" s="207">
        <f>[1]!'ai[195].isForce'</f>
        <v>0</v>
      </c>
      <c r="AA199" s="207" t="e">
        <f>[1]!'ai[195].vRaw'</f>
        <v>#REF!</v>
      </c>
      <c r="AB199" s="207">
        <f>[1]!'ai[195].isCorrect'</f>
        <v>0</v>
      </c>
      <c r="AC199" s="207" t="e">
        <f>[1]!'ai[195].vCorrect'</f>
        <v>#REF!</v>
      </c>
      <c r="AD199" s="207">
        <f>[1]!'ai[195].v'</f>
        <v>0</v>
      </c>
      <c r="AE199" s="207" t="e">
        <f>[1]!'ai[195].isCut'</f>
        <v>#REF!</v>
      </c>
      <c r="AF199" s="207" t="e">
        <f>[1]!'ai[195].vCut'</f>
        <v>#REF!</v>
      </c>
      <c r="AG199" s="208"/>
      <c r="AH199" s="207">
        <f>[1]!'ai[195].break.sgn'</f>
        <v>0</v>
      </c>
      <c r="AI199" s="208"/>
      <c r="AJ199" s="207">
        <f>[1]!'ai[195].ZL'</f>
        <v>0</v>
      </c>
      <c r="AK199" s="207">
        <f>[1]!'ai[195].ZH'</f>
        <v>0</v>
      </c>
      <c r="AL199" s="208"/>
      <c r="AM199" s="207">
        <f>[1]!'ai[195].RL.EN'</f>
        <v>0</v>
      </c>
      <c r="AN199" s="207">
        <f>[1]!'ai[195].RL.V'</f>
        <v>0</v>
      </c>
      <c r="AO199" s="207">
        <f>[1]!'ai[195].RL.fix'</f>
        <v>0</v>
      </c>
      <c r="AP199" s="208"/>
      <c r="AQ199" s="207">
        <f>[1]!'ai[195].RH.EN'</f>
        <v>0</v>
      </c>
      <c r="AR199" s="207">
        <f>[1]!'ai[195].RH.V'</f>
        <v>0</v>
      </c>
      <c r="AS199" s="207">
        <f>[1]!'ai[195].RH.fix'</f>
        <v>0</v>
      </c>
      <c r="AT199" s="208"/>
      <c r="AU199" s="207">
        <f>[1]!'ai[195].L.EN'</f>
        <v>0</v>
      </c>
      <c r="AV199" s="207">
        <f>[1]!'ai[195].L.V'</f>
        <v>0</v>
      </c>
      <c r="AW199" s="207">
        <f>[1]!'ai[195].L.fix'</f>
        <v>0</v>
      </c>
      <c r="AX199" s="208"/>
      <c r="AY199" s="207">
        <f>[1]!'ai[195].H.EN'</f>
        <v>0</v>
      </c>
      <c r="AZ199" s="207">
        <f>[1]!'ai[195].H.V'</f>
        <v>0</v>
      </c>
      <c r="BA199" s="207">
        <f>[1]!'ai[195].H.fix'</f>
        <v>0</v>
      </c>
      <c r="BB199" s="208"/>
      <c r="BC199" s="207">
        <f>[1]!'ai[195].LL.EN'</f>
        <v>0</v>
      </c>
      <c r="BD199" s="207">
        <f>[1]!'ai[195].LL.V'</f>
        <v>0</v>
      </c>
      <c r="BE199" s="207">
        <f>[1]!'ai[195].LL.fix'</f>
        <v>0</v>
      </c>
      <c r="BF199" s="208"/>
      <c r="BG199" s="207">
        <f>[1]!'ai[195].HH.EN'</f>
        <v>0</v>
      </c>
      <c r="BH199" s="207">
        <f>[1]!'ai[195].HH.V'</f>
        <v>0</v>
      </c>
      <c r="BI199" s="207">
        <f>[1]!'ai[195].HH.fix'</f>
        <v>0</v>
      </c>
      <c r="BJ199" s="210"/>
      <c r="BK199" s="207">
        <f>[1]!'ai[195].group'</f>
        <v>0</v>
      </c>
      <c r="BL199" s="207">
        <f>[1]!'ai[195].state'</f>
        <v>4</v>
      </c>
      <c r="BM199" s="207">
        <f>[1]!'ai[195].isInvScale'</f>
        <v>0</v>
      </c>
    </row>
    <row r="200" spans="1:65">
      <c r="A200" s="445"/>
      <c r="B200" s="446"/>
      <c r="C200" s="221">
        <v>4</v>
      </c>
      <c r="D200" s="221">
        <v>4</v>
      </c>
      <c r="E200" s="222" t="s">
        <v>373</v>
      </c>
      <c r="F200" s="222" t="s">
        <v>374</v>
      </c>
      <c r="G200" s="207">
        <f>[1]!'ai[196].ZL'</f>
        <v>0</v>
      </c>
      <c r="H200" s="207">
        <f>[1]!'ai[196].ZH'</f>
        <v>0</v>
      </c>
      <c r="I200" s="221" t="s">
        <v>366</v>
      </c>
      <c r="J200" s="207">
        <f>[1]!'ai[196].RL.V'</f>
        <v>0</v>
      </c>
      <c r="K200" s="207">
        <f>[1]!'ai[196].RH.V'</f>
        <v>0</v>
      </c>
      <c r="L200" s="207">
        <f>[1]!'ai[196].L.V'</f>
        <v>0</v>
      </c>
      <c r="M200" s="207">
        <f>[1]!'ai[196].H.V'</f>
        <v>0</v>
      </c>
      <c r="N200" s="207">
        <f>[1]!'ai[196].LL.V'</f>
        <v>0</v>
      </c>
      <c r="O200" s="207">
        <f>[1]!'ai[196].HH.V'</f>
        <v>0</v>
      </c>
      <c r="P200" s="223">
        <v>1</v>
      </c>
      <c r="Q200" s="224">
        <v>0</v>
      </c>
      <c r="R200" s="184"/>
      <c r="T200" s="207">
        <f>[1]!'ai[196].group'</f>
        <v>0</v>
      </c>
      <c r="X200" s="207">
        <f>[1]!'ai[196].EN'</f>
        <v>0</v>
      </c>
      <c r="Y200" s="207">
        <f>[1]!'ai[196].i'</f>
        <v>0</v>
      </c>
      <c r="Z200" s="207">
        <f>[1]!'ai[196].isForce'</f>
        <v>0</v>
      </c>
      <c r="AA200" s="207" t="e">
        <f>[1]!'ai[196].vRaw'</f>
        <v>#REF!</v>
      </c>
      <c r="AB200" s="207">
        <f>[1]!'ai[196].isCorrect'</f>
        <v>0</v>
      </c>
      <c r="AC200" s="207" t="e">
        <f>[1]!'ai[196].vCorrect'</f>
        <v>#REF!</v>
      </c>
      <c r="AD200" s="207">
        <f>[1]!'ai[196].v'</f>
        <v>0</v>
      </c>
      <c r="AE200" s="207" t="e">
        <f>[1]!'ai[196].isCut'</f>
        <v>#REF!</v>
      </c>
      <c r="AF200" s="207" t="e">
        <f>[1]!'ai[196].vCut'</f>
        <v>#REF!</v>
      </c>
      <c r="AG200" s="208"/>
      <c r="AH200" s="207">
        <f>[1]!'ai[196].break.sgn'</f>
        <v>0</v>
      </c>
      <c r="AI200" s="208"/>
      <c r="AJ200" s="207">
        <f>[1]!'ai[196].ZL'</f>
        <v>0</v>
      </c>
      <c r="AK200" s="207">
        <f>[1]!'ai[196].ZH'</f>
        <v>0</v>
      </c>
      <c r="AL200" s="208"/>
      <c r="AM200" s="207">
        <f>[1]!'ai[196].RL.EN'</f>
        <v>0</v>
      </c>
      <c r="AN200" s="207">
        <f>[1]!'ai[196].RL.V'</f>
        <v>0</v>
      </c>
      <c r="AO200" s="207">
        <f>[1]!'ai[196].RL.fix'</f>
        <v>0</v>
      </c>
      <c r="AP200" s="208"/>
      <c r="AQ200" s="207">
        <f>[1]!'ai[196].RH.EN'</f>
        <v>0</v>
      </c>
      <c r="AR200" s="207">
        <f>[1]!'ai[196].RH.V'</f>
        <v>0</v>
      </c>
      <c r="AS200" s="207">
        <f>[1]!'ai[196].RH.fix'</f>
        <v>0</v>
      </c>
      <c r="AT200" s="208"/>
      <c r="AU200" s="207">
        <f>[1]!'ai[196].L.EN'</f>
        <v>0</v>
      </c>
      <c r="AV200" s="207">
        <f>[1]!'ai[196].L.V'</f>
        <v>0</v>
      </c>
      <c r="AW200" s="207">
        <f>[1]!'ai[196].L.fix'</f>
        <v>0</v>
      </c>
      <c r="AX200" s="208"/>
      <c r="AY200" s="207">
        <f>[1]!'ai[196].H.EN'</f>
        <v>0</v>
      </c>
      <c r="AZ200" s="207">
        <f>[1]!'ai[196].H.V'</f>
        <v>0</v>
      </c>
      <c r="BA200" s="207">
        <f>[1]!'ai[196].H.fix'</f>
        <v>0</v>
      </c>
      <c r="BB200" s="208"/>
      <c r="BC200" s="207">
        <f>[1]!'ai[196].LL.EN'</f>
        <v>0</v>
      </c>
      <c r="BD200" s="207">
        <f>[1]!'ai[196].LL.V'</f>
        <v>0</v>
      </c>
      <c r="BE200" s="207">
        <f>[1]!'ai[196].LL.fix'</f>
        <v>0</v>
      </c>
      <c r="BF200" s="208"/>
      <c r="BG200" s="207">
        <f>[1]!'ai[196].HH.EN'</f>
        <v>0</v>
      </c>
      <c r="BH200" s="207">
        <f>[1]!'ai[196].HH.V'</f>
        <v>0</v>
      </c>
      <c r="BI200" s="207">
        <f>[1]!'ai[196].HH.fix'</f>
        <v>0</v>
      </c>
      <c r="BJ200" s="209"/>
      <c r="BK200" s="207">
        <f>[1]!'ai[196].group'</f>
        <v>0</v>
      </c>
      <c r="BL200" s="207">
        <f>[1]!'ai[196].state'</f>
        <v>4</v>
      </c>
      <c r="BM200" s="207">
        <f>[1]!'ai[196].isInvScale'</f>
        <v>0</v>
      </c>
    </row>
    <row r="201" spans="1:65">
      <c r="A201" s="445"/>
      <c r="B201" s="446"/>
      <c r="C201" s="221">
        <v>5</v>
      </c>
      <c r="D201" s="221">
        <v>5</v>
      </c>
      <c r="E201" s="222" t="s">
        <v>375</v>
      </c>
      <c r="F201" s="222" t="s">
        <v>376</v>
      </c>
      <c r="G201" s="207">
        <f>[1]!'ai[197].ZL'</f>
        <v>0</v>
      </c>
      <c r="H201" s="207">
        <f>[1]!'ai[197].ZH'</f>
        <v>0</v>
      </c>
      <c r="I201" s="221" t="s">
        <v>366</v>
      </c>
      <c r="J201" s="207">
        <f>[1]!'ai[197].RL.V'</f>
        <v>0</v>
      </c>
      <c r="K201" s="207">
        <f>[1]!'ai[197].RH.V'</f>
        <v>0</v>
      </c>
      <c r="L201" s="207">
        <f>[1]!'ai[197].L.V'</f>
        <v>0</v>
      </c>
      <c r="M201" s="207">
        <f>[1]!'ai[197].H.V'</f>
        <v>0</v>
      </c>
      <c r="N201" s="207">
        <f>[1]!'ai[197].LL.V'</f>
        <v>0</v>
      </c>
      <c r="O201" s="207">
        <f>[1]!'ai[197].HH.V'</f>
        <v>0</v>
      </c>
      <c r="P201" s="223">
        <v>1</v>
      </c>
      <c r="Q201" s="224">
        <v>0</v>
      </c>
      <c r="R201" s="184"/>
      <c r="T201" s="207">
        <f>[1]!'ai[197].group'</f>
        <v>0</v>
      </c>
      <c r="X201" s="207">
        <f>[1]!'ai[197].EN'</f>
        <v>0</v>
      </c>
      <c r="Y201" s="207">
        <f>[1]!'ai[197].i'</f>
        <v>0</v>
      </c>
      <c r="Z201" s="207">
        <f>[1]!'ai[197].isForce'</f>
        <v>0</v>
      </c>
      <c r="AA201" s="207" t="e">
        <f>[1]!'ai[197].vRaw'</f>
        <v>#REF!</v>
      </c>
      <c r="AB201" s="207">
        <f>[1]!'ai[197].isCorrect'</f>
        <v>0</v>
      </c>
      <c r="AC201" s="207" t="e">
        <f>[1]!'ai[197].vCorrect'</f>
        <v>#REF!</v>
      </c>
      <c r="AD201" s="207">
        <f>[1]!'ai[197].v'</f>
        <v>0</v>
      </c>
      <c r="AE201" s="207" t="e">
        <f>[1]!'ai[197].isCut'</f>
        <v>#REF!</v>
      </c>
      <c r="AF201" s="207" t="e">
        <f>[1]!'ai[197].vCut'</f>
        <v>#REF!</v>
      </c>
      <c r="AG201" s="208"/>
      <c r="AH201" s="207">
        <f>[1]!'ai[197].break.sgn'</f>
        <v>0</v>
      </c>
      <c r="AI201" s="208"/>
      <c r="AJ201" s="207">
        <f>[1]!'ai[197].ZL'</f>
        <v>0</v>
      </c>
      <c r="AK201" s="207">
        <f>[1]!'ai[197].ZH'</f>
        <v>0</v>
      </c>
      <c r="AL201" s="208"/>
      <c r="AM201" s="207">
        <f>[1]!'ai[197].RL.EN'</f>
        <v>0</v>
      </c>
      <c r="AN201" s="207">
        <f>[1]!'ai[197].RL.V'</f>
        <v>0</v>
      </c>
      <c r="AO201" s="207">
        <f>[1]!'ai[197].RL.fix'</f>
        <v>0</v>
      </c>
      <c r="AP201" s="208"/>
      <c r="AQ201" s="207">
        <f>[1]!'ai[197].RH.EN'</f>
        <v>0</v>
      </c>
      <c r="AR201" s="207">
        <f>[1]!'ai[197].RH.V'</f>
        <v>0</v>
      </c>
      <c r="AS201" s="207">
        <f>[1]!'ai[197].RH.fix'</f>
        <v>0</v>
      </c>
      <c r="AT201" s="208"/>
      <c r="AU201" s="207">
        <f>[1]!'ai[197].L.EN'</f>
        <v>0</v>
      </c>
      <c r="AV201" s="207">
        <f>[1]!'ai[197].L.V'</f>
        <v>0</v>
      </c>
      <c r="AW201" s="207">
        <f>[1]!'ai[197].L.fix'</f>
        <v>0</v>
      </c>
      <c r="AX201" s="208"/>
      <c r="AY201" s="207">
        <f>[1]!'ai[197].H.EN'</f>
        <v>0</v>
      </c>
      <c r="AZ201" s="207">
        <f>[1]!'ai[197].H.V'</f>
        <v>0</v>
      </c>
      <c r="BA201" s="207">
        <f>[1]!'ai[197].H.fix'</f>
        <v>0</v>
      </c>
      <c r="BB201" s="208"/>
      <c r="BC201" s="207">
        <f>[1]!'ai[197].LL.EN'</f>
        <v>0</v>
      </c>
      <c r="BD201" s="207">
        <f>[1]!'ai[197].LL.V'</f>
        <v>0</v>
      </c>
      <c r="BE201" s="207">
        <f>[1]!'ai[197].LL.fix'</f>
        <v>0</v>
      </c>
      <c r="BF201" s="208"/>
      <c r="BG201" s="207">
        <f>[1]!'ai[197].HH.EN'</f>
        <v>0</v>
      </c>
      <c r="BH201" s="207">
        <f>[1]!'ai[197].HH.V'</f>
        <v>0</v>
      </c>
      <c r="BI201" s="207">
        <f>[1]!'ai[197].HH.fix'</f>
        <v>0</v>
      </c>
      <c r="BJ201" s="209"/>
      <c r="BK201" s="207">
        <f>[1]!'ai[197].group'</f>
        <v>0</v>
      </c>
      <c r="BL201" s="207">
        <f>[1]!'ai[197].state'</f>
        <v>4</v>
      </c>
      <c r="BM201" s="207">
        <f>[1]!'ai[197].isInvScale'</f>
        <v>0</v>
      </c>
    </row>
    <row r="202" spans="1:65">
      <c r="A202" s="445"/>
      <c r="B202" s="446"/>
      <c r="C202" s="221">
        <v>6</v>
      </c>
      <c r="D202" s="221">
        <v>6</v>
      </c>
      <c r="E202" s="222" t="s">
        <v>377</v>
      </c>
      <c r="F202" s="222" t="s">
        <v>378</v>
      </c>
      <c r="G202" s="207">
        <f>[1]!'ai[198].ZL'</f>
        <v>0</v>
      </c>
      <c r="H202" s="207">
        <f>[1]!'ai[198].ZH'</f>
        <v>0</v>
      </c>
      <c r="I202" s="221" t="s">
        <v>366</v>
      </c>
      <c r="J202" s="207">
        <f>[1]!'ai[198].RL.V'</f>
        <v>0</v>
      </c>
      <c r="K202" s="207">
        <f>[1]!'ai[198].RH.V'</f>
        <v>0</v>
      </c>
      <c r="L202" s="207">
        <f>[1]!'ai[198].L.V'</f>
        <v>0</v>
      </c>
      <c r="M202" s="207">
        <f>[1]!'ai[198].H.V'</f>
        <v>0</v>
      </c>
      <c r="N202" s="207">
        <f>[1]!'ai[198].LL.V'</f>
        <v>0</v>
      </c>
      <c r="O202" s="207">
        <f>[1]!'ai[198].HH.V'</f>
        <v>0</v>
      </c>
      <c r="P202" s="223">
        <v>1</v>
      </c>
      <c r="Q202" s="224">
        <v>0</v>
      </c>
      <c r="R202" s="184"/>
      <c r="T202" s="207">
        <f>[1]!'ai[198].group'</f>
        <v>0</v>
      </c>
      <c r="X202" s="207">
        <f>[1]!'ai[198].EN'</f>
        <v>0</v>
      </c>
      <c r="Y202" s="207">
        <f>[1]!'ai[198].i'</f>
        <v>0</v>
      </c>
      <c r="Z202" s="207">
        <f>[1]!'ai[198].isForce'</f>
        <v>0</v>
      </c>
      <c r="AA202" s="207" t="e">
        <f>[1]!'ai[198].vRaw'</f>
        <v>#REF!</v>
      </c>
      <c r="AB202" s="207">
        <f>[1]!'ai[198].isCorrect'</f>
        <v>0</v>
      </c>
      <c r="AC202" s="207" t="e">
        <f>[1]!'ai[198].vCorrect'</f>
        <v>#REF!</v>
      </c>
      <c r="AD202" s="207">
        <f>[1]!'ai[198].v'</f>
        <v>0</v>
      </c>
      <c r="AE202" s="207" t="e">
        <f>[1]!'ai[198].isCut'</f>
        <v>#REF!</v>
      </c>
      <c r="AF202" s="207" t="e">
        <f>[1]!'ai[198].vCut'</f>
        <v>#REF!</v>
      </c>
      <c r="AG202" s="208"/>
      <c r="AH202" s="207">
        <f>[1]!'ai[198].break.sgn'</f>
        <v>0</v>
      </c>
      <c r="AI202" s="208"/>
      <c r="AJ202" s="207">
        <f>[1]!'ai[198].ZL'</f>
        <v>0</v>
      </c>
      <c r="AK202" s="207">
        <f>[1]!'ai[198].ZH'</f>
        <v>0</v>
      </c>
      <c r="AL202" s="208"/>
      <c r="AM202" s="207">
        <f>[1]!'ai[198].RL.EN'</f>
        <v>0</v>
      </c>
      <c r="AN202" s="207">
        <f>[1]!'ai[198].RL.V'</f>
        <v>0</v>
      </c>
      <c r="AO202" s="207">
        <f>[1]!'ai[198].RL.fix'</f>
        <v>0</v>
      </c>
      <c r="AP202" s="208"/>
      <c r="AQ202" s="207">
        <f>[1]!'ai[198].RH.EN'</f>
        <v>0</v>
      </c>
      <c r="AR202" s="207">
        <f>[1]!'ai[198].RH.V'</f>
        <v>0</v>
      </c>
      <c r="AS202" s="207">
        <f>[1]!'ai[198].RH.fix'</f>
        <v>0</v>
      </c>
      <c r="AT202" s="208"/>
      <c r="AU202" s="207">
        <f>[1]!'ai[198].L.EN'</f>
        <v>0</v>
      </c>
      <c r="AV202" s="207">
        <f>[1]!'ai[198].L.V'</f>
        <v>0</v>
      </c>
      <c r="AW202" s="207">
        <f>[1]!'ai[198].L.fix'</f>
        <v>0</v>
      </c>
      <c r="AX202" s="208"/>
      <c r="AY202" s="207">
        <f>[1]!'ai[198].H.EN'</f>
        <v>0</v>
      </c>
      <c r="AZ202" s="207">
        <f>[1]!'ai[198].H.V'</f>
        <v>0</v>
      </c>
      <c r="BA202" s="207">
        <f>[1]!'ai[198].H.fix'</f>
        <v>0</v>
      </c>
      <c r="BB202" s="208"/>
      <c r="BC202" s="207">
        <f>[1]!'ai[198].LL.EN'</f>
        <v>0</v>
      </c>
      <c r="BD202" s="207">
        <f>[1]!'ai[198].LL.V'</f>
        <v>0</v>
      </c>
      <c r="BE202" s="207">
        <f>[1]!'ai[198].LL.fix'</f>
        <v>0</v>
      </c>
      <c r="BF202" s="208"/>
      <c r="BG202" s="207">
        <f>[1]!'ai[198].HH.EN'</f>
        <v>0</v>
      </c>
      <c r="BH202" s="207">
        <f>[1]!'ai[198].HH.V'</f>
        <v>0</v>
      </c>
      <c r="BI202" s="207">
        <f>[1]!'ai[198].HH.fix'</f>
        <v>0</v>
      </c>
      <c r="BJ202" s="209"/>
      <c r="BK202" s="207">
        <f>[1]!'ai[198].group'</f>
        <v>0</v>
      </c>
      <c r="BL202" s="207">
        <f>[1]!'ai[198].state'</f>
        <v>4</v>
      </c>
      <c r="BM202" s="207">
        <f>[1]!'ai[198].isInvScale'</f>
        <v>0</v>
      </c>
    </row>
    <row r="203" spans="1:65">
      <c r="A203" s="445"/>
      <c r="B203" s="446"/>
      <c r="C203" s="221">
        <v>7</v>
      </c>
      <c r="D203" s="221">
        <v>7</v>
      </c>
      <c r="E203" s="222" t="s">
        <v>379</v>
      </c>
      <c r="F203" s="222" t="s">
        <v>380</v>
      </c>
      <c r="G203" s="207">
        <f>[1]!'ai[199].ZL'</f>
        <v>0</v>
      </c>
      <c r="H203" s="207">
        <f>[1]!'ai[199].ZH'</f>
        <v>0</v>
      </c>
      <c r="I203" s="221" t="s">
        <v>366</v>
      </c>
      <c r="J203" s="207">
        <f>[1]!'ai[199].RL.V'</f>
        <v>0</v>
      </c>
      <c r="K203" s="207">
        <f>[1]!'ai[199].RH.V'</f>
        <v>0</v>
      </c>
      <c r="L203" s="207">
        <f>[1]!'ai[199].L.V'</f>
        <v>0</v>
      </c>
      <c r="M203" s="207">
        <f>[1]!'ai[199].H.V'</f>
        <v>0</v>
      </c>
      <c r="N203" s="207">
        <f>[1]!'ai[199].LL.V'</f>
        <v>0</v>
      </c>
      <c r="O203" s="207">
        <f>[1]!'ai[199].HH.V'</f>
        <v>0</v>
      </c>
      <c r="P203" s="223">
        <v>1</v>
      </c>
      <c r="Q203" s="224">
        <v>0</v>
      </c>
      <c r="R203" s="184"/>
      <c r="T203" s="207">
        <f>[1]!'ai[199].group'</f>
        <v>0</v>
      </c>
      <c r="X203" s="207">
        <f>[1]!'ai[199].EN'</f>
        <v>0</v>
      </c>
      <c r="Y203" s="207">
        <f>[1]!'ai[199].i'</f>
        <v>0</v>
      </c>
      <c r="Z203" s="207">
        <f>[1]!'ai[199].isForce'</f>
        <v>0</v>
      </c>
      <c r="AA203" s="207" t="e">
        <f>[1]!'ai[199].vRaw'</f>
        <v>#REF!</v>
      </c>
      <c r="AB203" s="207">
        <f>[1]!'ai[199].isCorrect'</f>
        <v>0</v>
      </c>
      <c r="AC203" s="207" t="e">
        <f>[1]!'ai[199].vCorrect'</f>
        <v>#REF!</v>
      </c>
      <c r="AD203" s="207">
        <f>[1]!'ai[199].v'</f>
        <v>0</v>
      </c>
      <c r="AE203" s="207" t="e">
        <f>[1]!'ai[199].isCut'</f>
        <v>#REF!</v>
      </c>
      <c r="AF203" s="207" t="e">
        <f>[1]!'ai[199].vCut'</f>
        <v>#REF!</v>
      </c>
      <c r="AG203" s="208"/>
      <c r="AH203" s="207">
        <f>[1]!'ai[199].break.sgn'</f>
        <v>0</v>
      </c>
      <c r="AI203" s="208"/>
      <c r="AJ203" s="207">
        <f>[1]!'ai[199].ZL'</f>
        <v>0</v>
      </c>
      <c r="AK203" s="207">
        <f>[1]!'ai[199].ZH'</f>
        <v>0</v>
      </c>
      <c r="AL203" s="208"/>
      <c r="AM203" s="207">
        <f>[1]!'ai[199].RL.EN'</f>
        <v>0</v>
      </c>
      <c r="AN203" s="207">
        <f>[1]!'ai[199].RL.V'</f>
        <v>0</v>
      </c>
      <c r="AO203" s="207">
        <f>[1]!'ai[199].RL.fix'</f>
        <v>0</v>
      </c>
      <c r="AP203" s="208"/>
      <c r="AQ203" s="207">
        <f>[1]!'ai[199].RH.EN'</f>
        <v>0</v>
      </c>
      <c r="AR203" s="207">
        <f>[1]!'ai[199].RH.V'</f>
        <v>0</v>
      </c>
      <c r="AS203" s="207">
        <f>[1]!'ai[199].RH.fix'</f>
        <v>0</v>
      </c>
      <c r="AT203" s="208"/>
      <c r="AU203" s="207">
        <f>[1]!'ai[199].L.EN'</f>
        <v>0</v>
      </c>
      <c r="AV203" s="207">
        <f>[1]!'ai[199].L.V'</f>
        <v>0</v>
      </c>
      <c r="AW203" s="207">
        <f>[1]!'ai[199].L.fix'</f>
        <v>0</v>
      </c>
      <c r="AX203" s="208"/>
      <c r="AY203" s="207">
        <f>[1]!'ai[199].H.EN'</f>
        <v>0</v>
      </c>
      <c r="AZ203" s="207">
        <f>[1]!'ai[199].H.V'</f>
        <v>0</v>
      </c>
      <c r="BA203" s="207">
        <f>[1]!'ai[199].H.fix'</f>
        <v>0</v>
      </c>
      <c r="BB203" s="208"/>
      <c r="BC203" s="207">
        <f>[1]!'ai[199].LL.EN'</f>
        <v>0</v>
      </c>
      <c r="BD203" s="207">
        <f>[1]!'ai[199].LL.V'</f>
        <v>0</v>
      </c>
      <c r="BE203" s="207">
        <f>[1]!'ai[199].LL.fix'</f>
        <v>0</v>
      </c>
      <c r="BF203" s="208"/>
      <c r="BG203" s="207">
        <f>[1]!'ai[199].HH.EN'</f>
        <v>0</v>
      </c>
      <c r="BH203" s="207">
        <f>[1]!'ai[199].HH.V'</f>
        <v>0</v>
      </c>
      <c r="BI203" s="207">
        <f>[1]!'ai[199].HH.fix'</f>
        <v>0</v>
      </c>
      <c r="BJ203" s="209"/>
      <c r="BK203" s="207">
        <f>[1]!'ai[199].group'</f>
        <v>0</v>
      </c>
      <c r="BL203" s="207">
        <f>[1]!'ai[199].state'</f>
        <v>4</v>
      </c>
      <c r="BM203" s="207">
        <f>[1]!'ai[199].isInvScale'</f>
        <v>0</v>
      </c>
    </row>
    <row r="204" spans="1:65">
      <c r="A204" s="445"/>
      <c r="B204" s="446"/>
      <c r="C204" s="221">
        <v>8</v>
      </c>
      <c r="D204" s="221">
        <v>8</v>
      </c>
      <c r="E204" s="222" t="s">
        <v>381</v>
      </c>
      <c r="F204" s="222" t="s">
        <v>382</v>
      </c>
      <c r="G204" s="207">
        <f>[1]!'ai[200].ZL'</f>
        <v>0</v>
      </c>
      <c r="H204" s="207">
        <f>[1]!'ai[200].ZH'</f>
        <v>0</v>
      </c>
      <c r="I204" s="221" t="s">
        <v>383</v>
      </c>
      <c r="J204" s="207">
        <f>[1]!'ai[200].RL.V'</f>
        <v>0</v>
      </c>
      <c r="K204" s="207">
        <f>[1]!'ai[200].RH.V'</f>
        <v>0</v>
      </c>
      <c r="L204" s="207">
        <f>[1]!'ai[200].L.V'</f>
        <v>0</v>
      </c>
      <c r="M204" s="207">
        <f>[1]!'ai[200].H.V'</f>
        <v>0</v>
      </c>
      <c r="N204" s="207">
        <f>[1]!'ai[200].LL.V'</f>
        <v>0</v>
      </c>
      <c r="O204" s="207">
        <f>[1]!'ai[200].HH.V'</f>
        <v>0</v>
      </c>
      <c r="P204" s="223">
        <v>1</v>
      </c>
      <c r="Q204" s="224"/>
      <c r="R204" s="184"/>
      <c r="T204" s="207">
        <f>[1]!'ai[200].group'</f>
        <v>0</v>
      </c>
      <c r="X204" s="207">
        <f>[1]!'ai[200].EN'</f>
        <v>0</v>
      </c>
      <c r="Y204" s="207">
        <f>[1]!'ai[200].i'</f>
        <v>0</v>
      </c>
      <c r="Z204" s="207">
        <f>[1]!'ai[200].isForce'</f>
        <v>0</v>
      </c>
      <c r="AA204" s="207" t="e">
        <f>[1]!'ai[200].vRaw'</f>
        <v>#REF!</v>
      </c>
      <c r="AB204" s="207">
        <f>[1]!'ai[200].isCorrect'</f>
        <v>0</v>
      </c>
      <c r="AC204" s="207" t="e">
        <f>[1]!'ai[200].vCorrect'</f>
        <v>#REF!</v>
      </c>
      <c r="AD204" s="207">
        <f>[1]!'ai[200].v'</f>
        <v>0</v>
      </c>
      <c r="AE204" s="207" t="e">
        <f>[1]!'ai[200].isCut'</f>
        <v>#REF!</v>
      </c>
      <c r="AF204" s="207" t="e">
        <f>[1]!'ai[200].vCut'</f>
        <v>#REF!</v>
      </c>
      <c r="AG204" s="208"/>
      <c r="AH204" s="207">
        <f>[1]!'ai[200].break.sgn'</f>
        <v>0</v>
      </c>
      <c r="AI204" s="208"/>
      <c r="AJ204" s="207">
        <f>[1]!'ai[200].ZL'</f>
        <v>0</v>
      </c>
      <c r="AK204" s="207">
        <f>[1]!'ai[200].ZH'</f>
        <v>0</v>
      </c>
      <c r="AL204" s="208"/>
      <c r="AM204" s="207">
        <f>[1]!'ai[200].RL.EN'</f>
        <v>0</v>
      </c>
      <c r="AN204" s="207">
        <f>[1]!'ai[200].RL.V'</f>
        <v>0</v>
      </c>
      <c r="AO204" s="207">
        <f>[1]!'ai[200].RL.fix'</f>
        <v>0</v>
      </c>
      <c r="AP204" s="208"/>
      <c r="AQ204" s="207">
        <f>[1]!'ai[200].RH.EN'</f>
        <v>0</v>
      </c>
      <c r="AR204" s="207">
        <f>[1]!'ai[200].RH.V'</f>
        <v>0</v>
      </c>
      <c r="AS204" s="207">
        <f>[1]!'ai[200].RH.fix'</f>
        <v>0</v>
      </c>
      <c r="AT204" s="208"/>
      <c r="AU204" s="207">
        <f>[1]!'ai[200].L.EN'</f>
        <v>0</v>
      </c>
      <c r="AV204" s="207">
        <f>[1]!'ai[200].L.V'</f>
        <v>0</v>
      </c>
      <c r="AW204" s="207">
        <f>[1]!'ai[200].L.fix'</f>
        <v>0</v>
      </c>
      <c r="AX204" s="208"/>
      <c r="AY204" s="207">
        <f>[1]!'ai[200].H.EN'</f>
        <v>0</v>
      </c>
      <c r="AZ204" s="207">
        <f>[1]!'ai[200].H.V'</f>
        <v>0</v>
      </c>
      <c r="BA204" s="207">
        <f>[1]!'ai[200].H.fix'</f>
        <v>0</v>
      </c>
      <c r="BB204" s="208"/>
      <c r="BC204" s="207">
        <f>[1]!'ai[200].LL.EN'</f>
        <v>0</v>
      </c>
      <c r="BD204" s="207">
        <f>[1]!'ai[200].LL.V'</f>
        <v>0</v>
      </c>
      <c r="BE204" s="207">
        <f>[1]!'ai[200].LL.fix'</f>
        <v>0</v>
      </c>
      <c r="BF204" s="208"/>
      <c r="BG204" s="207">
        <f>[1]!'ai[200].HH.EN'</f>
        <v>0</v>
      </c>
      <c r="BH204" s="207">
        <f>[1]!'ai[200].HH.V'</f>
        <v>0</v>
      </c>
      <c r="BI204" s="207">
        <f>[1]!'ai[200].HH.fix'</f>
        <v>0</v>
      </c>
      <c r="BJ204" s="210"/>
      <c r="BK204" s="207">
        <f>[1]!'ai[200].group'</f>
        <v>0</v>
      </c>
      <c r="BL204" s="207">
        <f>[1]!'ai[200].state'</f>
        <v>4</v>
      </c>
      <c r="BM204" s="207">
        <f>[1]!'ai[200].isInvScale'</f>
        <v>0</v>
      </c>
    </row>
    <row r="205" spans="1:65">
      <c r="A205" s="445"/>
      <c r="B205" s="446"/>
      <c r="C205" s="221">
        <v>9</v>
      </c>
      <c r="D205" s="221">
        <v>9</v>
      </c>
      <c r="E205" s="222" t="s">
        <v>384</v>
      </c>
      <c r="F205" s="222" t="s">
        <v>385</v>
      </c>
      <c r="G205" s="207">
        <f>[1]!'ai[201].ZL'</f>
        <v>0</v>
      </c>
      <c r="H205" s="207">
        <f>[1]!'ai[201].ZH'</f>
        <v>0</v>
      </c>
      <c r="I205" s="221" t="s">
        <v>383</v>
      </c>
      <c r="J205" s="207">
        <f>[1]!'ai[201].RL.V'</f>
        <v>0</v>
      </c>
      <c r="K205" s="207">
        <f>[1]!'ai[201].RH.V'</f>
        <v>0</v>
      </c>
      <c r="L205" s="207">
        <f>[1]!'ai[201].L.V'</f>
        <v>0</v>
      </c>
      <c r="M205" s="207">
        <f>[1]!'ai[201].H.V'</f>
        <v>0</v>
      </c>
      <c r="N205" s="207">
        <f>[1]!'ai[201].LL.V'</f>
        <v>0</v>
      </c>
      <c r="O205" s="207">
        <f>[1]!'ai[201].HH.V'</f>
        <v>0</v>
      </c>
      <c r="P205" s="223">
        <v>1</v>
      </c>
      <c r="Q205" s="224"/>
      <c r="R205" s="184"/>
      <c r="T205" s="207">
        <f>[1]!'ai[201].group'</f>
        <v>0</v>
      </c>
      <c r="X205" s="207">
        <f>[1]!'ai[201].EN'</f>
        <v>0</v>
      </c>
      <c r="Y205" s="207">
        <f>[1]!'ai[201].i'</f>
        <v>0</v>
      </c>
      <c r="Z205" s="207">
        <f>[1]!'ai[201].isForce'</f>
        <v>0</v>
      </c>
      <c r="AA205" s="207" t="e">
        <f>[1]!'ai[201].vRaw'</f>
        <v>#REF!</v>
      </c>
      <c r="AB205" s="207">
        <f>[1]!'ai[201].isCorrect'</f>
        <v>0</v>
      </c>
      <c r="AC205" s="207" t="e">
        <f>[1]!'ai[201].vCorrect'</f>
        <v>#REF!</v>
      </c>
      <c r="AD205" s="207">
        <f>[1]!'ai[201].v'</f>
        <v>0</v>
      </c>
      <c r="AE205" s="207" t="e">
        <f>[1]!'ai[201].isCut'</f>
        <v>#REF!</v>
      </c>
      <c r="AF205" s="207" t="e">
        <f>[1]!'ai[201].vCut'</f>
        <v>#REF!</v>
      </c>
      <c r="AG205" s="208"/>
      <c r="AH205" s="207">
        <f>[1]!'ai[201].break.sgn'</f>
        <v>0</v>
      </c>
      <c r="AI205" s="208"/>
      <c r="AJ205" s="207">
        <f>[1]!'ai[201].ZL'</f>
        <v>0</v>
      </c>
      <c r="AK205" s="207">
        <f>[1]!'ai[201].ZH'</f>
        <v>0</v>
      </c>
      <c r="AL205" s="208"/>
      <c r="AM205" s="207">
        <f>[1]!'ai[201].RL.EN'</f>
        <v>0</v>
      </c>
      <c r="AN205" s="207">
        <f>[1]!'ai[201].RL.V'</f>
        <v>0</v>
      </c>
      <c r="AO205" s="207">
        <f>[1]!'ai[201].RL.fix'</f>
        <v>0</v>
      </c>
      <c r="AP205" s="208"/>
      <c r="AQ205" s="207">
        <f>[1]!'ai[201].RH.EN'</f>
        <v>0</v>
      </c>
      <c r="AR205" s="207">
        <f>[1]!'ai[201].RH.V'</f>
        <v>0</v>
      </c>
      <c r="AS205" s="207">
        <f>[1]!'ai[201].RH.fix'</f>
        <v>0</v>
      </c>
      <c r="AT205" s="208"/>
      <c r="AU205" s="207">
        <f>[1]!'ai[201].L.EN'</f>
        <v>0</v>
      </c>
      <c r="AV205" s="207">
        <f>[1]!'ai[201].L.V'</f>
        <v>0</v>
      </c>
      <c r="AW205" s="207">
        <f>[1]!'ai[201].L.fix'</f>
        <v>0</v>
      </c>
      <c r="AX205" s="208"/>
      <c r="AY205" s="207">
        <f>[1]!'ai[201].H.EN'</f>
        <v>0</v>
      </c>
      <c r="AZ205" s="207">
        <f>[1]!'ai[201].H.V'</f>
        <v>0</v>
      </c>
      <c r="BA205" s="207">
        <f>[1]!'ai[201].H.fix'</f>
        <v>0</v>
      </c>
      <c r="BB205" s="208"/>
      <c r="BC205" s="207">
        <f>[1]!'ai[201].LL.EN'</f>
        <v>0</v>
      </c>
      <c r="BD205" s="207">
        <f>[1]!'ai[201].LL.V'</f>
        <v>0</v>
      </c>
      <c r="BE205" s="207">
        <f>[1]!'ai[201].LL.fix'</f>
        <v>0</v>
      </c>
      <c r="BF205" s="208"/>
      <c r="BG205" s="207">
        <f>[1]!'ai[201].HH.EN'</f>
        <v>0</v>
      </c>
      <c r="BH205" s="207">
        <f>[1]!'ai[201].HH.V'</f>
        <v>0</v>
      </c>
      <c r="BI205" s="207">
        <f>[1]!'ai[201].HH.fix'</f>
        <v>0</v>
      </c>
      <c r="BJ205" s="210"/>
      <c r="BK205" s="207">
        <f>[1]!'ai[201].group'</f>
        <v>0</v>
      </c>
      <c r="BL205" s="207">
        <f>[1]!'ai[201].state'</f>
        <v>4</v>
      </c>
      <c r="BM205" s="207">
        <f>[1]!'ai[201].isInvScale'</f>
        <v>0</v>
      </c>
    </row>
    <row r="206" spans="1:65">
      <c r="A206" s="445"/>
      <c r="B206" s="446"/>
      <c r="C206" s="221">
        <v>10</v>
      </c>
      <c r="D206" s="221">
        <v>10</v>
      </c>
      <c r="E206" s="222" t="s">
        <v>386</v>
      </c>
      <c r="F206" s="222" t="s">
        <v>387</v>
      </c>
      <c r="G206" s="207">
        <f>[1]!'ai[202].ZL'</f>
        <v>0</v>
      </c>
      <c r="H206" s="207">
        <f>[1]!'ai[202].ZH'</f>
        <v>0</v>
      </c>
      <c r="I206" s="221" t="s">
        <v>366</v>
      </c>
      <c r="J206" s="207">
        <f>[1]!'ai[202].RL.V'</f>
        <v>0</v>
      </c>
      <c r="K206" s="207">
        <f>[1]!'ai[202].RH.V'</f>
        <v>0</v>
      </c>
      <c r="L206" s="207">
        <f>[1]!'ai[202].L.V'</f>
        <v>0</v>
      </c>
      <c r="M206" s="207">
        <f>[1]!'ai[202].H.V'</f>
        <v>0</v>
      </c>
      <c r="N206" s="207">
        <f>[1]!'ai[202].LL.V'</f>
        <v>0</v>
      </c>
      <c r="O206" s="207">
        <f>[1]!'ai[202].HH.V'</f>
        <v>0</v>
      </c>
      <c r="P206" s="223">
        <v>4</v>
      </c>
      <c r="Q206" s="224">
        <v>3</v>
      </c>
      <c r="R206" s="184"/>
      <c r="T206" s="207">
        <f>[1]!'ai[202].group'</f>
        <v>0</v>
      </c>
      <c r="X206" s="207">
        <f>[1]!'ai[202].EN'</f>
        <v>0</v>
      </c>
      <c r="Y206" s="207">
        <f>[1]!'ai[202].i'</f>
        <v>0</v>
      </c>
      <c r="Z206" s="207">
        <f>[1]!'ai[202].isForce'</f>
        <v>0</v>
      </c>
      <c r="AA206" s="207" t="e">
        <f>[1]!'ai[202].vRaw'</f>
        <v>#REF!</v>
      </c>
      <c r="AB206" s="207">
        <f>[1]!'ai[202].isCorrect'</f>
        <v>0</v>
      </c>
      <c r="AC206" s="207" t="e">
        <f>[1]!'ai[202].vCorrect'</f>
        <v>#REF!</v>
      </c>
      <c r="AD206" s="207">
        <f>[1]!'ai[202].v'</f>
        <v>0</v>
      </c>
      <c r="AE206" s="207" t="e">
        <f>[1]!'ai[202].isCut'</f>
        <v>#REF!</v>
      </c>
      <c r="AF206" s="207" t="e">
        <f>[1]!'ai[202].vCut'</f>
        <v>#REF!</v>
      </c>
      <c r="AG206" s="208"/>
      <c r="AH206" s="207">
        <f>[1]!'ai[202].break.sgn'</f>
        <v>0</v>
      </c>
      <c r="AI206" s="208"/>
      <c r="AJ206" s="207">
        <f>[1]!'ai[202].ZL'</f>
        <v>0</v>
      </c>
      <c r="AK206" s="207">
        <f>[1]!'ai[202].ZH'</f>
        <v>0</v>
      </c>
      <c r="AL206" s="208"/>
      <c r="AM206" s="207">
        <f>[1]!'ai[202].RL.EN'</f>
        <v>0</v>
      </c>
      <c r="AN206" s="207">
        <f>[1]!'ai[202].RL.V'</f>
        <v>0</v>
      </c>
      <c r="AO206" s="207">
        <f>[1]!'ai[202].RL.fix'</f>
        <v>0</v>
      </c>
      <c r="AP206" s="208"/>
      <c r="AQ206" s="207">
        <f>[1]!'ai[202].RH.EN'</f>
        <v>0</v>
      </c>
      <c r="AR206" s="207">
        <f>[1]!'ai[202].RH.V'</f>
        <v>0</v>
      </c>
      <c r="AS206" s="207">
        <f>[1]!'ai[202].RH.fix'</f>
        <v>0</v>
      </c>
      <c r="AT206" s="208"/>
      <c r="AU206" s="207">
        <f>[1]!'ai[202].L.EN'</f>
        <v>0</v>
      </c>
      <c r="AV206" s="207">
        <f>[1]!'ai[202].L.V'</f>
        <v>0</v>
      </c>
      <c r="AW206" s="207">
        <f>[1]!'ai[202].L.fix'</f>
        <v>0</v>
      </c>
      <c r="AX206" s="208"/>
      <c r="AY206" s="207">
        <f>[1]!'ai[202].H.EN'</f>
        <v>0</v>
      </c>
      <c r="AZ206" s="207">
        <f>[1]!'ai[202].H.V'</f>
        <v>0</v>
      </c>
      <c r="BA206" s="207">
        <f>[1]!'ai[202].H.fix'</f>
        <v>0</v>
      </c>
      <c r="BB206" s="208"/>
      <c r="BC206" s="207">
        <f>[1]!'ai[202].LL.EN'</f>
        <v>0</v>
      </c>
      <c r="BD206" s="207">
        <f>[1]!'ai[202].LL.V'</f>
        <v>0</v>
      </c>
      <c r="BE206" s="207">
        <f>[1]!'ai[202].LL.fix'</f>
        <v>0</v>
      </c>
      <c r="BF206" s="208"/>
      <c r="BG206" s="207">
        <f>[1]!'ai[202].HH.EN'</f>
        <v>0</v>
      </c>
      <c r="BH206" s="207">
        <f>[1]!'ai[202].HH.V'</f>
        <v>0</v>
      </c>
      <c r="BI206" s="207">
        <f>[1]!'ai[202].HH.fix'</f>
        <v>0</v>
      </c>
      <c r="BJ206" s="210"/>
      <c r="BK206" s="207">
        <f>[1]!'ai[202].group'</f>
        <v>0</v>
      </c>
      <c r="BL206" s="207">
        <f>[1]!'ai[202].state'</f>
        <v>4</v>
      </c>
      <c r="BM206" s="207">
        <f>[1]!'ai[202].isInvScale'</f>
        <v>0</v>
      </c>
    </row>
    <row r="207" spans="1:65">
      <c r="A207" s="445"/>
      <c r="B207" s="446"/>
      <c r="C207" s="221">
        <v>11</v>
      </c>
      <c r="D207" s="221">
        <v>11</v>
      </c>
      <c r="E207" s="222" t="s">
        <v>388</v>
      </c>
      <c r="F207" s="222" t="s">
        <v>389</v>
      </c>
      <c r="G207" s="207">
        <f>[1]!'ai[203].ZL'</f>
        <v>0</v>
      </c>
      <c r="H207" s="207">
        <f>[1]!'ai[203].ZH'</f>
        <v>0</v>
      </c>
      <c r="I207" s="221" t="s">
        <v>366</v>
      </c>
      <c r="J207" s="207">
        <f>[1]!'ai[203].RL.V'</f>
        <v>0</v>
      </c>
      <c r="K207" s="207">
        <f>[1]!'ai[203].RH.V'</f>
        <v>0</v>
      </c>
      <c r="L207" s="207">
        <f>[1]!'ai[203].L.V'</f>
        <v>0</v>
      </c>
      <c r="M207" s="207">
        <f>[1]!'ai[203].H.V'</f>
        <v>0</v>
      </c>
      <c r="N207" s="207">
        <f>[1]!'ai[203].LL.V'</f>
        <v>0</v>
      </c>
      <c r="O207" s="207">
        <f>[1]!'ai[203].HH.V'</f>
        <v>0</v>
      </c>
      <c r="P207" s="223">
        <v>4</v>
      </c>
      <c r="Q207" s="224">
        <v>3</v>
      </c>
      <c r="R207" s="184"/>
      <c r="T207" s="207">
        <f>[1]!'ai[203].group'</f>
        <v>0</v>
      </c>
      <c r="X207" s="207">
        <f>[1]!'ai[203].EN'</f>
        <v>0</v>
      </c>
      <c r="Y207" s="207">
        <f>[1]!'ai[203].i'</f>
        <v>0</v>
      </c>
      <c r="Z207" s="207">
        <f>[1]!'ai[203].isForce'</f>
        <v>0</v>
      </c>
      <c r="AA207" s="207" t="e">
        <f>[1]!'ai[203].vRaw'</f>
        <v>#REF!</v>
      </c>
      <c r="AB207" s="207">
        <f>[1]!'ai[203].isCorrect'</f>
        <v>0</v>
      </c>
      <c r="AC207" s="207" t="e">
        <f>[1]!'ai[203].vCorrect'</f>
        <v>#REF!</v>
      </c>
      <c r="AD207" s="207">
        <f>[1]!'ai[203].v'</f>
        <v>0</v>
      </c>
      <c r="AE207" s="207" t="e">
        <f>[1]!'ai[203].isCut'</f>
        <v>#REF!</v>
      </c>
      <c r="AF207" s="207" t="e">
        <f>[1]!'ai[203].vCut'</f>
        <v>#REF!</v>
      </c>
      <c r="AG207" s="208"/>
      <c r="AH207" s="207">
        <f>[1]!'ai[203].break.sgn'</f>
        <v>0</v>
      </c>
      <c r="AI207" s="208"/>
      <c r="AJ207" s="207">
        <f>[1]!'ai[203].ZL'</f>
        <v>0</v>
      </c>
      <c r="AK207" s="207">
        <f>[1]!'ai[203].ZH'</f>
        <v>0</v>
      </c>
      <c r="AL207" s="208"/>
      <c r="AM207" s="207">
        <f>[1]!'ai[203].RL.EN'</f>
        <v>0</v>
      </c>
      <c r="AN207" s="207">
        <f>[1]!'ai[203].RL.V'</f>
        <v>0</v>
      </c>
      <c r="AO207" s="207">
        <f>[1]!'ai[203].RL.fix'</f>
        <v>0</v>
      </c>
      <c r="AP207" s="208"/>
      <c r="AQ207" s="207">
        <f>[1]!'ai[203].RH.EN'</f>
        <v>0</v>
      </c>
      <c r="AR207" s="207">
        <f>[1]!'ai[203].RH.V'</f>
        <v>0</v>
      </c>
      <c r="AS207" s="207">
        <f>[1]!'ai[203].RH.fix'</f>
        <v>0</v>
      </c>
      <c r="AT207" s="208"/>
      <c r="AU207" s="207">
        <f>[1]!'ai[203].L.EN'</f>
        <v>0</v>
      </c>
      <c r="AV207" s="207">
        <f>[1]!'ai[203].L.V'</f>
        <v>0</v>
      </c>
      <c r="AW207" s="207">
        <f>[1]!'ai[203].L.fix'</f>
        <v>0</v>
      </c>
      <c r="AX207" s="208"/>
      <c r="AY207" s="207">
        <f>[1]!'ai[203].H.EN'</f>
        <v>0</v>
      </c>
      <c r="AZ207" s="207">
        <f>[1]!'ai[203].H.V'</f>
        <v>0</v>
      </c>
      <c r="BA207" s="207">
        <f>[1]!'ai[203].H.fix'</f>
        <v>0</v>
      </c>
      <c r="BB207" s="208"/>
      <c r="BC207" s="207">
        <f>[1]!'ai[203].LL.EN'</f>
        <v>0</v>
      </c>
      <c r="BD207" s="207">
        <f>[1]!'ai[203].LL.V'</f>
        <v>0</v>
      </c>
      <c r="BE207" s="207">
        <f>[1]!'ai[203].LL.fix'</f>
        <v>0</v>
      </c>
      <c r="BF207" s="208"/>
      <c r="BG207" s="207">
        <f>[1]!'ai[203].HH.EN'</f>
        <v>0</v>
      </c>
      <c r="BH207" s="207">
        <f>[1]!'ai[203].HH.V'</f>
        <v>0</v>
      </c>
      <c r="BI207" s="207">
        <f>[1]!'ai[203].HH.fix'</f>
        <v>0</v>
      </c>
      <c r="BJ207" s="210"/>
      <c r="BK207" s="207">
        <f>[1]!'ai[203].group'</f>
        <v>0</v>
      </c>
      <c r="BL207" s="207">
        <f>[1]!'ai[203].state'</f>
        <v>4</v>
      </c>
      <c r="BM207" s="207">
        <f>[1]!'ai[203].isInvScale'</f>
        <v>0</v>
      </c>
    </row>
    <row r="208" spans="1:65">
      <c r="A208" s="445"/>
      <c r="B208" s="446"/>
      <c r="C208" s="221">
        <v>12</v>
      </c>
      <c r="D208" s="221">
        <v>12</v>
      </c>
      <c r="E208" s="222" t="s">
        <v>390</v>
      </c>
      <c r="F208" s="222" t="s">
        <v>391</v>
      </c>
      <c r="G208" s="207">
        <f>[1]!'ai[204].ZL'</f>
        <v>0</v>
      </c>
      <c r="H208" s="207">
        <f>[1]!'ai[204].ZH'</f>
        <v>0</v>
      </c>
      <c r="I208" s="221" t="s">
        <v>366</v>
      </c>
      <c r="J208" s="207">
        <f>[1]!'ai[204].RL.V'</f>
        <v>0</v>
      </c>
      <c r="K208" s="207">
        <f>[1]!'ai[204].RH.V'</f>
        <v>0</v>
      </c>
      <c r="L208" s="207">
        <f>[1]!'ai[204].L.V'</f>
        <v>0</v>
      </c>
      <c r="M208" s="207">
        <f>[1]!'ai[204].H.V'</f>
        <v>0</v>
      </c>
      <c r="N208" s="207">
        <f>[1]!'ai[204].LL.V'</f>
        <v>0</v>
      </c>
      <c r="O208" s="207">
        <f>[1]!'ai[204].HH.V'</f>
        <v>0</v>
      </c>
      <c r="P208" s="223">
        <v>4</v>
      </c>
      <c r="Q208" s="224">
        <v>3</v>
      </c>
      <c r="R208" s="184"/>
      <c r="T208" s="207">
        <f>[1]!'ai[204].group'</f>
        <v>0</v>
      </c>
      <c r="X208" s="207">
        <f>[1]!'ai[204].EN'</f>
        <v>0</v>
      </c>
      <c r="Y208" s="207">
        <f>[1]!'ai[204].i'</f>
        <v>0</v>
      </c>
      <c r="Z208" s="207">
        <f>[1]!'ai[204].isForce'</f>
        <v>0</v>
      </c>
      <c r="AA208" s="207" t="e">
        <f>[1]!'ai[204].vRaw'</f>
        <v>#REF!</v>
      </c>
      <c r="AB208" s="207">
        <f>[1]!'ai[204].isCorrect'</f>
        <v>0</v>
      </c>
      <c r="AC208" s="207" t="e">
        <f>[1]!'ai[204].vCorrect'</f>
        <v>#REF!</v>
      </c>
      <c r="AD208" s="207">
        <f>[1]!'ai[204].v'</f>
        <v>0</v>
      </c>
      <c r="AE208" s="207" t="e">
        <f>[1]!'ai[204].isCut'</f>
        <v>#REF!</v>
      </c>
      <c r="AF208" s="207" t="e">
        <f>[1]!'ai[204].vCut'</f>
        <v>#REF!</v>
      </c>
      <c r="AG208" s="208"/>
      <c r="AH208" s="207">
        <f>[1]!'ai[204].break.sgn'</f>
        <v>0</v>
      </c>
      <c r="AI208" s="208"/>
      <c r="AJ208" s="207">
        <f>[1]!'ai[204].ZL'</f>
        <v>0</v>
      </c>
      <c r="AK208" s="207">
        <f>[1]!'ai[204].ZH'</f>
        <v>0</v>
      </c>
      <c r="AL208" s="208"/>
      <c r="AM208" s="207">
        <f>[1]!'ai[204].RL.EN'</f>
        <v>0</v>
      </c>
      <c r="AN208" s="207">
        <f>[1]!'ai[204].RL.V'</f>
        <v>0</v>
      </c>
      <c r="AO208" s="207">
        <f>[1]!'ai[204].RL.fix'</f>
        <v>0</v>
      </c>
      <c r="AP208" s="208"/>
      <c r="AQ208" s="207">
        <f>[1]!'ai[204].RH.EN'</f>
        <v>0</v>
      </c>
      <c r="AR208" s="207">
        <f>[1]!'ai[204].RH.V'</f>
        <v>0</v>
      </c>
      <c r="AS208" s="207">
        <f>[1]!'ai[204].RH.fix'</f>
        <v>0</v>
      </c>
      <c r="AT208" s="208"/>
      <c r="AU208" s="207">
        <f>[1]!'ai[204].L.EN'</f>
        <v>0</v>
      </c>
      <c r="AV208" s="207">
        <f>[1]!'ai[204].L.V'</f>
        <v>0</v>
      </c>
      <c r="AW208" s="207">
        <f>[1]!'ai[204].L.fix'</f>
        <v>0</v>
      </c>
      <c r="AX208" s="208"/>
      <c r="AY208" s="207">
        <f>[1]!'ai[204].H.EN'</f>
        <v>0</v>
      </c>
      <c r="AZ208" s="207">
        <f>[1]!'ai[204].H.V'</f>
        <v>0</v>
      </c>
      <c r="BA208" s="207">
        <f>[1]!'ai[204].H.fix'</f>
        <v>0</v>
      </c>
      <c r="BB208" s="208"/>
      <c r="BC208" s="207">
        <f>[1]!'ai[204].LL.EN'</f>
        <v>0</v>
      </c>
      <c r="BD208" s="207">
        <f>[1]!'ai[204].LL.V'</f>
        <v>0</v>
      </c>
      <c r="BE208" s="207">
        <f>[1]!'ai[204].LL.fix'</f>
        <v>0</v>
      </c>
      <c r="BF208" s="208"/>
      <c r="BG208" s="207">
        <f>[1]!'ai[204].HH.EN'</f>
        <v>0</v>
      </c>
      <c r="BH208" s="207">
        <f>[1]!'ai[204].HH.V'</f>
        <v>0</v>
      </c>
      <c r="BI208" s="207">
        <f>[1]!'ai[204].HH.fix'</f>
        <v>0</v>
      </c>
      <c r="BJ208" s="210"/>
      <c r="BK208" s="207">
        <f>[1]!'ai[204].group'</f>
        <v>0</v>
      </c>
      <c r="BL208" s="207">
        <f>[1]!'ai[204].state'</f>
        <v>4</v>
      </c>
      <c r="BM208" s="207">
        <f>[1]!'ai[204].isInvScale'</f>
        <v>0</v>
      </c>
    </row>
    <row r="209" spans="1:65">
      <c r="A209" s="445"/>
      <c r="B209" s="446"/>
      <c r="C209" s="221">
        <v>13</v>
      </c>
      <c r="D209" s="221">
        <v>13</v>
      </c>
      <c r="E209" s="222" t="s">
        <v>392</v>
      </c>
      <c r="F209" s="222" t="s">
        <v>393</v>
      </c>
      <c r="G209" s="207">
        <f>[1]!'ai[205].ZL'</f>
        <v>0</v>
      </c>
      <c r="H209" s="207">
        <f>[1]!'ai[205].ZH'</f>
        <v>0</v>
      </c>
      <c r="I209" s="221" t="s">
        <v>366</v>
      </c>
      <c r="J209" s="207">
        <f>[1]!'ai[205].RL.V'</f>
        <v>0</v>
      </c>
      <c r="K209" s="207">
        <f>[1]!'ai[205].RH.V'</f>
        <v>0</v>
      </c>
      <c r="L209" s="207">
        <f>[1]!'ai[205].L.V'</f>
        <v>0</v>
      </c>
      <c r="M209" s="207">
        <f>[1]!'ai[205].H.V'</f>
        <v>0</v>
      </c>
      <c r="N209" s="207">
        <f>[1]!'ai[205].LL.V'</f>
        <v>0</v>
      </c>
      <c r="O209" s="207">
        <f>[1]!'ai[205].HH.V'</f>
        <v>0</v>
      </c>
      <c r="P209" s="223">
        <v>4</v>
      </c>
      <c r="Q209" s="224">
        <v>3</v>
      </c>
      <c r="R209" s="184"/>
      <c r="T209" s="207">
        <f>[1]!'ai[205].group'</f>
        <v>0</v>
      </c>
      <c r="X209" s="207">
        <f>[1]!'ai[205].EN'</f>
        <v>0</v>
      </c>
      <c r="Y209" s="207">
        <f>[1]!'ai[205].i'</f>
        <v>0</v>
      </c>
      <c r="Z209" s="207">
        <f>[1]!'ai[205].isForce'</f>
        <v>0</v>
      </c>
      <c r="AA209" s="207" t="e">
        <f>[1]!'ai[205].vRaw'</f>
        <v>#REF!</v>
      </c>
      <c r="AB209" s="207">
        <f>[1]!'ai[205].isCorrect'</f>
        <v>0</v>
      </c>
      <c r="AC209" s="207" t="e">
        <f>[1]!'ai[205].vCorrect'</f>
        <v>#REF!</v>
      </c>
      <c r="AD209" s="207">
        <f>[1]!'ai[205].v'</f>
        <v>0</v>
      </c>
      <c r="AE209" s="207" t="e">
        <f>[1]!'ai[205].isCut'</f>
        <v>#REF!</v>
      </c>
      <c r="AF209" s="207" t="e">
        <f>[1]!'ai[205].vCut'</f>
        <v>#REF!</v>
      </c>
      <c r="AG209" s="208"/>
      <c r="AH209" s="207">
        <f>[1]!'ai[205].break.sgn'</f>
        <v>0</v>
      </c>
      <c r="AI209" s="208"/>
      <c r="AJ209" s="207">
        <f>[1]!'ai[205].ZL'</f>
        <v>0</v>
      </c>
      <c r="AK209" s="207">
        <f>[1]!'ai[205].ZH'</f>
        <v>0</v>
      </c>
      <c r="AL209" s="208"/>
      <c r="AM209" s="207">
        <f>[1]!'ai[205].RL.EN'</f>
        <v>0</v>
      </c>
      <c r="AN209" s="207">
        <f>[1]!'ai[205].RL.V'</f>
        <v>0</v>
      </c>
      <c r="AO209" s="207">
        <f>[1]!'ai[205].RL.fix'</f>
        <v>0</v>
      </c>
      <c r="AP209" s="208"/>
      <c r="AQ209" s="207">
        <f>[1]!'ai[205].RH.EN'</f>
        <v>0</v>
      </c>
      <c r="AR209" s="207">
        <f>[1]!'ai[205].RH.V'</f>
        <v>0</v>
      </c>
      <c r="AS209" s="207">
        <f>[1]!'ai[205].RH.fix'</f>
        <v>0</v>
      </c>
      <c r="AT209" s="208"/>
      <c r="AU209" s="207">
        <f>[1]!'ai[205].L.EN'</f>
        <v>0</v>
      </c>
      <c r="AV209" s="207">
        <f>[1]!'ai[205].L.V'</f>
        <v>0</v>
      </c>
      <c r="AW209" s="207">
        <f>[1]!'ai[205].L.fix'</f>
        <v>0</v>
      </c>
      <c r="AX209" s="208"/>
      <c r="AY209" s="207">
        <f>[1]!'ai[205].H.EN'</f>
        <v>0</v>
      </c>
      <c r="AZ209" s="207">
        <f>[1]!'ai[205].H.V'</f>
        <v>0</v>
      </c>
      <c r="BA209" s="207">
        <f>[1]!'ai[205].H.fix'</f>
        <v>0</v>
      </c>
      <c r="BB209" s="208"/>
      <c r="BC209" s="207">
        <f>[1]!'ai[205].LL.EN'</f>
        <v>0</v>
      </c>
      <c r="BD209" s="207">
        <f>[1]!'ai[205].LL.V'</f>
        <v>0</v>
      </c>
      <c r="BE209" s="207">
        <f>[1]!'ai[205].LL.fix'</f>
        <v>0</v>
      </c>
      <c r="BF209" s="208"/>
      <c r="BG209" s="207">
        <f>[1]!'ai[205].HH.EN'</f>
        <v>0</v>
      </c>
      <c r="BH209" s="207">
        <f>[1]!'ai[205].HH.V'</f>
        <v>0</v>
      </c>
      <c r="BI209" s="207">
        <f>[1]!'ai[205].HH.fix'</f>
        <v>0</v>
      </c>
      <c r="BJ209" s="210"/>
      <c r="BK209" s="207">
        <f>[1]!'ai[205].group'</f>
        <v>0</v>
      </c>
      <c r="BL209" s="207">
        <f>[1]!'ai[205].state'</f>
        <v>4</v>
      </c>
      <c r="BM209" s="207">
        <f>[1]!'ai[205].isInvScale'</f>
        <v>0</v>
      </c>
    </row>
    <row r="210" spans="1:65">
      <c r="A210" s="445"/>
      <c r="B210" s="446"/>
      <c r="C210" s="221">
        <v>14</v>
      </c>
      <c r="D210" s="221">
        <v>14</v>
      </c>
      <c r="E210" s="222" t="s">
        <v>394</v>
      </c>
      <c r="F210" s="222" t="s">
        <v>395</v>
      </c>
      <c r="G210" s="207">
        <f>[1]!'ai[206].ZL'</f>
        <v>0</v>
      </c>
      <c r="H210" s="207">
        <f>[1]!'ai[206].ZH'</f>
        <v>0</v>
      </c>
      <c r="I210" s="221" t="s">
        <v>366</v>
      </c>
      <c r="J210" s="207">
        <f>[1]!'ai[206].RL.V'</f>
        <v>0</v>
      </c>
      <c r="K210" s="207">
        <f>[1]!'ai[206].RH.V'</f>
        <v>0</v>
      </c>
      <c r="L210" s="207">
        <f>[1]!'ai[206].L.V'</f>
        <v>0</v>
      </c>
      <c r="M210" s="207">
        <f>[1]!'ai[206].H.V'</f>
        <v>0</v>
      </c>
      <c r="N210" s="207">
        <f>[1]!'ai[206].LL.V'</f>
        <v>0</v>
      </c>
      <c r="O210" s="207">
        <f>[1]!'ai[206].HH.V'</f>
        <v>0</v>
      </c>
      <c r="P210" s="223">
        <v>4</v>
      </c>
      <c r="Q210" s="224">
        <v>3</v>
      </c>
      <c r="R210" s="184"/>
      <c r="T210" s="207">
        <f>[1]!'ai[206].group'</f>
        <v>0</v>
      </c>
      <c r="X210" s="207">
        <f>[1]!'ai[206].EN'</f>
        <v>0</v>
      </c>
      <c r="Y210" s="207">
        <f>[1]!'ai[206].i'</f>
        <v>0</v>
      </c>
      <c r="Z210" s="207">
        <f>[1]!'ai[206].isForce'</f>
        <v>0</v>
      </c>
      <c r="AA210" s="207" t="e">
        <f>[1]!'ai[206].vRaw'</f>
        <v>#REF!</v>
      </c>
      <c r="AB210" s="207">
        <f>[1]!'ai[206].isCorrect'</f>
        <v>0</v>
      </c>
      <c r="AC210" s="207" t="e">
        <f>[1]!'ai[206].vCorrect'</f>
        <v>#REF!</v>
      </c>
      <c r="AD210" s="207">
        <f>[1]!'ai[206].v'</f>
        <v>0</v>
      </c>
      <c r="AE210" s="207" t="e">
        <f>[1]!'ai[206].isCut'</f>
        <v>#REF!</v>
      </c>
      <c r="AF210" s="207" t="e">
        <f>[1]!'ai[206].vCut'</f>
        <v>#REF!</v>
      </c>
      <c r="AG210" s="208"/>
      <c r="AH210" s="207">
        <f>[1]!'ai[206].break.sgn'</f>
        <v>0</v>
      </c>
      <c r="AI210" s="208"/>
      <c r="AJ210" s="207">
        <f>[1]!'ai[206].ZL'</f>
        <v>0</v>
      </c>
      <c r="AK210" s="207">
        <f>[1]!'ai[206].ZH'</f>
        <v>0</v>
      </c>
      <c r="AL210" s="208"/>
      <c r="AM210" s="207">
        <f>[1]!'ai[206].RL.EN'</f>
        <v>0</v>
      </c>
      <c r="AN210" s="207">
        <f>[1]!'ai[206].RL.V'</f>
        <v>0</v>
      </c>
      <c r="AO210" s="207">
        <f>[1]!'ai[206].RL.fix'</f>
        <v>0</v>
      </c>
      <c r="AP210" s="208"/>
      <c r="AQ210" s="207">
        <f>[1]!'ai[206].RH.EN'</f>
        <v>0</v>
      </c>
      <c r="AR210" s="207">
        <f>[1]!'ai[206].RH.V'</f>
        <v>0</v>
      </c>
      <c r="AS210" s="207">
        <f>[1]!'ai[206].RH.fix'</f>
        <v>0</v>
      </c>
      <c r="AT210" s="208"/>
      <c r="AU210" s="207">
        <f>[1]!'ai[206].L.EN'</f>
        <v>0</v>
      </c>
      <c r="AV210" s="207">
        <f>[1]!'ai[206].L.V'</f>
        <v>0</v>
      </c>
      <c r="AW210" s="207">
        <f>[1]!'ai[206].L.fix'</f>
        <v>0</v>
      </c>
      <c r="AX210" s="208"/>
      <c r="AY210" s="207">
        <f>[1]!'ai[206].H.EN'</f>
        <v>0</v>
      </c>
      <c r="AZ210" s="207">
        <f>[1]!'ai[206].H.V'</f>
        <v>0</v>
      </c>
      <c r="BA210" s="207">
        <f>[1]!'ai[206].H.fix'</f>
        <v>0</v>
      </c>
      <c r="BB210" s="208"/>
      <c r="BC210" s="207">
        <f>[1]!'ai[206].LL.EN'</f>
        <v>0</v>
      </c>
      <c r="BD210" s="207">
        <f>[1]!'ai[206].LL.V'</f>
        <v>0</v>
      </c>
      <c r="BE210" s="207">
        <f>[1]!'ai[206].LL.fix'</f>
        <v>0</v>
      </c>
      <c r="BF210" s="208"/>
      <c r="BG210" s="207">
        <f>[1]!'ai[206].HH.EN'</f>
        <v>0</v>
      </c>
      <c r="BH210" s="207">
        <f>[1]!'ai[206].HH.V'</f>
        <v>0</v>
      </c>
      <c r="BI210" s="207">
        <f>[1]!'ai[206].HH.fix'</f>
        <v>0</v>
      </c>
      <c r="BJ210" s="209"/>
      <c r="BK210" s="207">
        <f>[1]!'ai[206].group'</f>
        <v>0</v>
      </c>
      <c r="BL210" s="207">
        <f>[1]!'ai[206].state'</f>
        <v>4</v>
      </c>
      <c r="BM210" s="207">
        <f>[1]!'ai[206].isInvScale'</f>
        <v>0</v>
      </c>
    </row>
    <row r="211" spans="1:65">
      <c r="A211" s="445"/>
      <c r="B211" s="446"/>
      <c r="C211" s="225">
        <v>15</v>
      </c>
      <c r="D211" s="225">
        <v>15</v>
      </c>
      <c r="E211" s="226" t="s">
        <v>396</v>
      </c>
      <c r="F211" s="226" t="s">
        <v>397</v>
      </c>
      <c r="G211" s="207">
        <f>[1]!'ai[207].ZL'</f>
        <v>0</v>
      </c>
      <c r="H211" s="207">
        <f>[1]!'ai[207].ZH'</f>
        <v>0</v>
      </c>
      <c r="I211" s="225" t="s">
        <v>366</v>
      </c>
      <c r="J211" s="207">
        <f>[1]!'ai[207].RL.V'</f>
        <v>0</v>
      </c>
      <c r="K211" s="207">
        <f>[1]!'ai[207].RH.V'</f>
        <v>0</v>
      </c>
      <c r="L211" s="207">
        <f>[1]!'ai[207].L.V'</f>
        <v>0</v>
      </c>
      <c r="M211" s="207">
        <f>[1]!'ai[207].H.V'</f>
        <v>0</v>
      </c>
      <c r="N211" s="207">
        <f>[1]!'ai[207].LL.V'</f>
        <v>0</v>
      </c>
      <c r="O211" s="207">
        <f>[1]!'ai[207].HH.V'</f>
        <v>0</v>
      </c>
      <c r="P211" s="227">
        <v>4</v>
      </c>
      <c r="Q211" s="228">
        <v>3</v>
      </c>
      <c r="R211" s="190"/>
      <c r="T211" s="207">
        <f>[1]!'ai[207].group'</f>
        <v>0</v>
      </c>
      <c r="X211" s="207">
        <f>[1]!'ai[207].EN'</f>
        <v>0</v>
      </c>
      <c r="Y211" s="207">
        <f>[1]!'ai[207].i'</f>
        <v>0</v>
      </c>
      <c r="Z211" s="207">
        <f>[1]!'ai[207].isForce'</f>
        <v>0</v>
      </c>
      <c r="AA211" s="207" t="e">
        <f>[1]!'ai[207].vRaw'</f>
        <v>#REF!</v>
      </c>
      <c r="AB211" s="207">
        <f>[1]!'ai[207].isCorrect'</f>
        <v>0</v>
      </c>
      <c r="AC211" s="207" t="e">
        <f>[1]!'ai[207].vCorrect'</f>
        <v>#REF!</v>
      </c>
      <c r="AD211" s="207">
        <f>[1]!'ai[207].v'</f>
        <v>0</v>
      </c>
      <c r="AE211" s="207" t="e">
        <f>[1]!'ai[207].isCut'</f>
        <v>#REF!</v>
      </c>
      <c r="AF211" s="207" t="e">
        <f>[1]!'ai[207].vCut'</f>
        <v>#REF!</v>
      </c>
      <c r="AG211" s="208"/>
      <c r="AH211" s="207">
        <f>[1]!'ai[207].break.sgn'</f>
        <v>0</v>
      </c>
      <c r="AI211" s="208"/>
      <c r="AJ211" s="207">
        <f>[1]!'ai[207].ZL'</f>
        <v>0</v>
      </c>
      <c r="AK211" s="207">
        <f>[1]!'ai[207].ZH'</f>
        <v>0</v>
      </c>
      <c r="AL211" s="208"/>
      <c r="AM211" s="207">
        <f>[1]!'ai[207].RL.EN'</f>
        <v>0</v>
      </c>
      <c r="AN211" s="207">
        <f>[1]!'ai[207].RL.V'</f>
        <v>0</v>
      </c>
      <c r="AO211" s="207">
        <f>[1]!'ai[207].RL.fix'</f>
        <v>0</v>
      </c>
      <c r="AP211" s="208"/>
      <c r="AQ211" s="207">
        <f>[1]!'ai[207].RH.EN'</f>
        <v>0</v>
      </c>
      <c r="AR211" s="207">
        <f>[1]!'ai[207].RH.V'</f>
        <v>0</v>
      </c>
      <c r="AS211" s="207">
        <f>[1]!'ai[207].RH.fix'</f>
        <v>0</v>
      </c>
      <c r="AT211" s="208"/>
      <c r="AU211" s="207">
        <f>[1]!'ai[207].L.EN'</f>
        <v>0</v>
      </c>
      <c r="AV211" s="207">
        <f>[1]!'ai[207].L.V'</f>
        <v>0</v>
      </c>
      <c r="AW211" s="207">
        <f>[1]!'ai[207].L.fix'</f>
        <v>0</v>
      </c>
      <c r="AX211" s="208"/>
      <c r="AY211" s="207">
        <f>[1]!'ai[207].H.EN'</f>
        <v>0</v>
      </c>
      <c r="AZ211" s="207">
        <f>[1]!'ai[207].H.V'</f>
        <v>0</v>
      </c>
      <c r="BA211" s="207">
        <f>[1]!'ai[207].H.fix'</f>
        <v>0</v>
      </c>
      <c r="BB211" s="208"/>
      <c r="BC211" s="207">
        <f>[1]!'ai[207].LL.EN'</f>
        <v>0</v>
      </c>
      <c r="BD211" s="207">
        <f>[1]!'ai[207].LL.V'</f>
        <v>0</v>
      </c>
      <c r="BE211" s="207">
        <f>[1]!'ai[207].LL.fix'</f>
        <v>0</v>
      </c>
      <c r="BF211" s="208"/>
      <c r="BG211" s="207">
        <f>[1]!'ai[207].HH.EN'</f>
        <v>0</v>
      </c>
      <c r="BH211" s="207">
        <f>[1]!'ai[207].HH.V'</f>
        <v>0</v>
      </c>
      <c r="BI211" s="207">
        <f>[1]!'ai[207].HH.fix'</f>
        <v>0</v>
      </c>
      <c r="BJ211" s="209"/>
      <c r="BK211" s="207">
        <f>[1]!'ai[207].group'</f>
        <v>0</v>
      </c>
      <c r="BL211" s="207">
        <f>[1]!'ai[207].state'</f>
        <v>4</v>
      </c>
      <c r="BM211" s="207">
        <f>[1]!'ai[207].isInvScale'</f>
        <v>0</v>
      </c>
    </row>
    <row r="212" spans="1:65">
      <c r="G212" s="207">
        <f>[1]!'ai[208].ZL'</f>
        <v>0</v>
      </c>
      <c r="H212" s="207">
        <f>[1]!'ai[208].ZH'</f>
        <v>0</v>
      </c>
      <c r="J212" s="207">
        <f>[1]!'ai[208].RL.V'</f>
        <v>0</v>
      </c>
      <c r="K212" s="207">
        <f>[1]!'ai[208].RH.V'</f>
        <v>0</v>
      </c>
      <c r="L212" s="207">
        <f>[1]!'ai[208].L.V'</f>
        <v>0</v>
      </c>
      <c r="M212" s="207">
        <f>[1]!'ai[208].H.V'</f>
        <v>0</v>
      </c>
      <c r="N212" s="207">
        <f>[1]!'ai[208].LL.V'</f>
        <v>0</v>
      </c>
      <c r="O212" s="207">
        <f>[1]!'ai[208].HH.V'</f>
        <v>0</v>
      </c>
      <c r="T212" s="207">
        <f>[1]!'ai[208].group'</f>
        <v>0</v>
      </c>
      <c r="X212" s="207">
        <f>[1]!'ai[208].EN'</f>
        <v>0</v>
      </c>
      <c r="Y212" s="207">
        <f>[1]!'ai[208].i'</f>
        <v>0</v>
      </c>
      <c r="Z212" s="207">
        <f>[1]!'ai[208].isForce'</f>
        <v>0</v>
      </c>
      <c r="AA212" s="207" t="e">
        <f>[1]!'ai[208].vRaw'</f>
        <v>#REF!</v>
      </c>
      <c r="AB212" s="207">
        <f>[1]!'ai[208].isCorrect'</f>
        <v>0</v>
      </c>
      <c r="AC212" s="207" t="e">
        <f>[1]!'ai[208].vCorrect'</f>
        <v>#REF!</v>
      </c>
      <c r="AD212" s="207">
        <f>[1]!'ai[208].v'</f>
        <v>0</v>
      </c>
      <c r="AE212" s="207" t="e">
        <f>[1]!'ai[208].isCut'</f>
        <v>#REF!</v>
      </c>
      <c r="AF212" s="207" t="e">
        <f>[1]!'ai[208].vCut'</f>
        <v>#REF!</v>
      </c>
      <c r="AG212" s="208"/>
      <c r="AH212" s="207">
        <f>[1]!'ai[208].break.sgn'</f>
        <v>0</v>
      </c>
      <c r="AI212" s="208"/>
      <c r="AJ212" s="207">
        <f>[1]!'ai[208].ZL'</f>
        <v>0</v>
      </c>
      <c r="AK212" s="207">
        <f>[1]!'ai[208].ZH'</f>
        <v>0</v>
      </c>
      <c r="AL212" s="208"/>
      <c r="AM212" s="207">
        <f>[1]!'ai[208].RL.EN'</f>
        <v>0</v>
      </c>
      <c r="AN212" s="207">
        <f>[1]!'ai[208].RL.V'</f>
        <v>0</v>
      </c>
      <c r="AO212" s="207">
        <f>[1]!'ai[208].RL.fix'</f>
        <v>0</v>
      </c>
      <c r="AP212" s="208"/>
      <c r="AQ212" s="207">
        <f>[1]!'ai[208].RH.EN'</f>
        <v>0</v>
      </c>
      <c r="AR212" s="207">
        <f>[1]!'ai[208].RH.V'</f>
        <v>0</v>
      </c>
      <c r="AS212" s="207">
        <f>[1]!'ai[208].RH.fix'</f>
        <v>0</v>
      </c>
      <c r="AT212" s="208"/>
      <c r="AU212" s="207">
        <f>[1]!'ai[208].L.EN'</f>
        <v>0</v>
      </c>
      <c r="AV212" s="207">
        <f>[1]!'ai[208].L.V'</f>
        <v>0</v>
      </c>
      <c r="AW212" s="207">
        <f>[1]!'ai[208].L.fix'</f>
        <v>0</v>
      </c>
      <c r="AX212" s="208"/>
      <c r="AY212" s="207">
        <f>[1]!'ai[208].H.EN'</f>
        <v>0</v>
      </c>
      <c r="AZ212" s="207">
        <f>[1]!'ai[208].H.V'</f>
        <v>0</v>
      </c>
      <c r="BA212" s="207">
        <f>[1]!'ai[208].H.fix'</f>
        <v>0</v>
      </c>
      <c r="BB212" s="208"/>
      <c r="BC212" s="207">
        <f>[1]!'ai[208].LL.EN'</f>
        <v>0</v>
      </c>
      <c r="BD212" s="207">
        <f>[1]!'ai[208].LL.V'</f>
        <v>0</v>
      </c>
      <c r="BE212" s="207">
        <f>[1]!'ai[208].LL.fix'</f>
        <v>0</v>
      </c>
      <c r="BF212" s="208"/>
      <c r="BG212" s="207">
        <f>[1]!'ai[208].HH.EN'</f>
        <v>0</v>
      </c>
      <c r="BH212" s="207">
        <f>[1]!'ai[208].HH.V'</f>
        <v>0</v>
      </c>
      <c r="BI212" s="207">
        <f>[1]!'ai[208].HH.fix'</f>
        <v>0</v>
      </c>
      <c r="BJ212" s="209"/>
      <c r="BK212" s="207">
        <f>[1]!'ai[208].group'</f>
        <v>0</v>
      </c>
      <c r="BL212" s="207">
        <f>[1]!'ai[208].state'</f>
        <v>4</v>
      </c>
      <c r="BM212" s="207">
        <f>[1]!'ai[208].isInvScale'</f>
        <v>0</v>
      </c>
    </row>
    <row r="213" spans="1:65">
      <c r="G213" s="207">
        <f>[1]!'ai[209].ZL'</f>
        <v>0</v>
      </c>
      <c r="H213" s="207">
        <f>[1]!'ai[209].ZH'</f>
        <v>0</v>
      </c>
      <c r="J213" s="207">
        <f>[1]!'ai[209].RL.V'</f>
        <v>0</v>
      </c>
      <c r="K213" s="207">
        <f>[1]!'ai[209].RH.V'</f>
        <v>0</v>
      </c>
      <c r="L213" s="207">
        <f>[1]!'ai[209].L.V'</f>
        <v>0</v>
      </c>
      <c r="M213" s="207">
        <f>[1]!'ai[209].H.V'</f>
        <v>0</v>
      </c>
      <c r="N213" s="207">
        <f>[1]!'ai[209].LL.V'</f>
        <v>0</v>
      </c>
      <c r="O213" s="207">
        <f>[1]!'ai[209].HH.V'</f>
        <v>0</v>
      </c>
      <c r="T213" s="207">
        <f>[1]!'ai[209].group'</f>
        <v>0</v>
      </c>
      <c r="X213" s="207">
        <f>[1]!'ai[209].EN'</f>
        <v>0</v>
      </c>
      <c r="Y213" s="207">
        <f>[1]!'ai[209].i'</f>
        <v>0</v>
      </c>
      <c r="Z213" s="207">
        <f>[1]!'ai[209].isForce'</f>
        <v>0</v>
      </c>
      <c r="AA213" s="207" t="e">
        <f>[1]!'ai[209].vRaw'</f>
        <v>#REF!</v>
      </c>
      <c r="AB213" s="207">
        <f>[1]!'ai[209].isCorrect'</f>
        <v>0</v>
      </c>
      <c r="AC213" s="207" t="e">
        <f>[1]!'ai[209].vCorrect'</f>
        <v>#REF!</v>
      </c>
      <c r="AD213" s="207">
        <f>[1]!'ai[209].v'</f>
        <v>0</v>
      </c>
      <c r="AE213" s="207" t="e">
        <f>[1]!'ai[209].isCut'</f>
        <v>#REF!</v>
      </c>
      <c r="AF213" s="207" t="e">
        <f>[1]!'ai[209].vCut'</f>
        <v>#REF!</v>
      </c>
      <c r="AG213" s="208"/>
      <c r="AH213" s="207">
        <f>[1]!'ai[209].break.sgn'</f>
        <v>0</v>
      </c>
      <c r="AI213" s="208"/>
      <c r="AJ213" s="207">
        <f>[1]!'ai[209].ZL'</f>
        <v>0</v>
      </c>
      <c r="AK213" s="207">
        <f>[1]!'ai[209].ZH'</f>
        <v>0</v>
      </c>
      <c r="AL213" s="208"/>
      <c r="AM213" s="207">
        <f>[1]!'ai[209].RL.EN'</f>
        <v>0</v>
      </c>
      <c r="AN213" s="207">
        <f>[1]!'ai[209].RL.V'</f>
        <v>0</v>
      </c>
      <c r="AO213" s="207">
        <f>[1]!'ai[209].RL.fix'</f>
        <v>0</v>
      </c>
      <c r="AP213" s="208"/>
      <c r="AQ213" s="207">
        <f>[1]!'ai[209].RH.EN'</f>
        <v>0</v>
      </c>
      <c r="AR213" s="207">
        <f>[1]!'ai[209].RH.V'</f>
        <v>0</v>
      </c>
      <c r="AS213" s="207">
        <f>[1]!'ai[209].RH.fix'</f>
        <v>0</v>
      </c>
      <c r="AT213" s="208"/>
      <c r="AU213" s="207">
        <f>[1]!'ai[209].L.EN'</f>
        <v>0</v>
      </c>
      <c r="AV213" s="207">
        <f>[1]!'ai[209].L.V'</f>
        <v>0</v>
      </c>
      <c r="AW213" s="207">
        <f>[1]!'ai[209].L.fix'</f>
        <v>0</v>
      </c>
      <c r="AX213" s="208"/>
      <c r="AY213" s="207">
        <f>[1]!'ai[209].H.EN'</f>
        <v>0</v>
      </c>
      <c r="AZ213" s="207">
        <f>[1]!'ai[209].H.V'</f>
        <v>0</v>
      </c>
      <c r="BA213" s="207">
        <f>[1]!'ai[209].H.fix'</f>
        <v>0</v>
      </c>
      <c r="BB213" s="208"/>
      <c r="BC213" s="207">
        <f>[1]!'ai[209].LL.EN'</f>
        <v>0</v>
      </c>
      <c r="BD213" s="207">
        <f>[1]!'ai[209].LL.V'</f>
        <v>0</v>
      </c>
      <c r="BE213" s="207">
        <f>[1]!'ai[209].LL.fix'</f>
        <v>0</v>
      </c>
      <c r="BF213" s="208"/>
      <c r="BG213" s="207">
        <f>[1]!'ai[209].HH.EN'</f>
        <v>0</v>
      </c>
      <c r="BH213" s="207">
        <f>[1]!'ai[209].HH.V'</f>
        <v>0</v>
      </c>
      <c r="BI213" s="207">
        <f>[1]!'ai[209].HH.fix'</f>
        <v>0</v>
      </c>
      <c r="BJ213" s="209"/>
      <c r="BK213" s="207">
        <f>[1]!'ai[209].group'</f>
        <v>0</v>
      </c>
      <c r="BL213" s="207">
        <f>[1]!'ai[209].state'</f>
        <v>4</v>
      </c>
      <c r="BM213" s="207">
        <f>[1]!'ai[209].isInvScale'</f>
        <v>0</v>
      </c>
    </row>
  </sheetData>
  <mergeCells count="37">
    <mergeCell ref="R2:R3"/>
    <mergeCell ref="A2:B3"/>
    <mergeCell ref="C2:C3"/>
    <mergeCell ref="D2:D3"/>
    <mergeCell ref="E2:E3"/>
    <mergeCell ref="F2:F3"/>
    <mergeCell ref="I2:I3"/>
    <mergeCell ref="J2:K2"/>
    <mergeCell ref="L2:M2"/>
    <mergeCell ref="N2:O2"/>
    <mergeCell ref="P2:Q2"/>
    <mergeCell ref="A4:A19"/>
    <mergeCell ref="B4:B19"/>
    <mergeCell ref="A20:A35"/>
    <mergeCell ref="B20:B35"/>
    <mergeCell ref="A36:A51"/>
    <mergeCell ref="B36:B51"/>
    <mergeCell ref="A52:A67"/>
    <mergeCell ref="B52:B67"/>
    <mergeCell ref="A68:A83"/>
    <mergeCell ref="B68:B83"/>
    <mergeCell ref="A84:A99"/>
    <mergeCell ref="B84:B99"/>
    <mergeCell ref="A100:A115"/>
    <mergeCell ref="B100:B115"/>
    <mergeCell ref="A116:A131"/>
    <mergeCell ref="B116:B131"/>
    <mergeCell ref="A132:A147"/>
    <mergeCell ref="B132:B147"/>
    <mergeCell ref="A196:A211"/>
    <mergeCell ref="B196:B211"/>
    <mergeCell ref="A148:A163"/>
    <mergeCell ref="B148:B163"/>
    <mergeCell ref="A164:A179"/>
    <mergeCell ref="B164:B179"/>
    <mergeCell ref="A180:A195"/>
    <mergeCell ref="B180:B195"/>
  </mergeCells>
  <conditionalFormatting sqref="BI1:BI65536 BE1:BE65536 BA1:BA65536 AW1:AW65536 AS1:AS65536 AO1:AO65536 BC1:BC65080 AH1:AH65080 BG1:BG65080">
    <cfRule type="cellIs" dxfId="65" priority="66" stopIfTrue="1" operator="equal">
      <formula>1</formula>
    </cfRule>
  </conditionalFormatting>
  <conditionalFormatting sqref="AY5 AU5 AM5 BI5 BI21 BI37 BI53 AW5 BA5 BC5:BE5 AO21:AP21 AO37:AP37 AO53:AP53 AW21 AW37 AW53 BA21 BA37 BA53 BC21:BE21 BC37:BE37 BC53:BE53 AO5:AS5 AS21 AS37 AS53 AH5 AH21 AH37 AH53 BG5 BG21 BG37 BG53 BK5:BL5">
    <cfRule type="cellIs" dxfId="64" priority="65" stopIfTrue="1" operator="greaterThan">
      <formula>0</formula>
    </cfRule>
  </conditionalFormatting>
  <conditionalFormatting sqref="BC1:BC65536 AQ1:AR65536 AO1:AP65080 BD1:BE65080 AS1:AS65080 BC64:BE213 AO64:AS213 AY1:AY65536 AU1:AU65536 AM1:AM65536 BG1:BG65536 BI1:BI65080 AW1:AW65080 BA1:BA65080 AH1:AH65080 BK1:BL65536">
    <cfRule type="cellIs" dxfId="63" priority="63" stopIfTrue="1" operator="greaterThan">
      <formula>0</formula>
    </cfRule>
    <cfRule type="cellIs" dxfId="62" priority="64" stopIfTrue="1" operator="equal">
      <formula>1</formula>
    </cfRule>
  </conditionalFormatting>
  <conditionalFormatting sqref="AB1:AB65536 X1:X65536 AE1:AE65536 AM1:AM65536 AQ1:AQ65536 AU1:AU65536 AY1:AY65536 BC1:BC65536 BG1:BG65536">
    <cfRule type="cellIs" dxfId="61" priority="62" stopIfTrue="1" operator="equal">
      <formula>1</formula>
    </cfRule>
  </conditionalFormatting>
  <conditionalFormatting sqref="Z1:Z65080">
    <cfRule type="cellIs" dxfId="60" priority="61" stopIfTrue="1" operator="equal">
      <formula>1</formula>
    </cfRule>
  </conditionalFormatting>
  <conditionalFormatting sqref="Z5 Z21 Z37 Z53">
    <cfRule type="cellIs" dxfId="59" priority="60" stopIfTrue="1" operator="greaterThan">
      <formula>0</formula>
    </cfRule>
  </conditionalFormatting>
  <conditionalFormatting sqref="Z1:Z65080">
    <cfRule type="cellIs" dxfId="58" priority="58" stopIfTrue="1" operator="greaterThan">
      <formula>0</formula>
    </cfRule>
    <cfRule type="cellIs" dxfId="57" priority="59" stopIfTrue="1" operator="equal">
      <formula>1</formula>
    </cfRule>
  </conditionalFormatting>
  <conditionalFormatting sqref="BI71 AO71:AP71 AW71 BA71 BC71:BE71 AS71 AH71 BG71">
    <cfRule type="cellIs" dxfId="56" priority="57" stopIfTrue="1" operator="greaterThan">
      <formula>0</formula>
    </cfRule>
  </conditionalFormatting>
  <conditionalFormatting sqref="Z71">
    <cfRule type="cellIs" dxfId="55" priority="56" stopIfTrue="1" operator="greaterThan">
      <formula>0</formula>
    </cfRule>
  </conditionalFormatting>
  <conditionalFormatting sqref="BI81 AO81:AP81 AW81 BA81 BC81:BE81 AS81 AH81 BG81">
    <cfRule type="cellIs" dxfId="54" priority="55" stopIfTrue="1" operator="greaterThan">
      <formula>0</formula>
    </cfRule>
  </conditionalFormatting>
  <conditionalFormatting sqref="Z81">
    <cfRule type="cellIs" dxfId="53" priority="54" stopIfTrue="1" operator="greaterThan">
      <formula>0</formula>
    </cfRule>
  </conditionalFormatting>
  <conditionalFormatting sqref="BI91 AO91:AP91 AW91 BA91 BC91:BE91 AS91 AH91 BG91">
    <cfRule type="cellIs" dxfId="52" priority="53" stopIfTrue="1" operator="greaterThan">
      <formula>0</formula>
    </cfRule>
  </conditionalFormatting>
  <conditionalFormatting sqref="Z91">
    <cfRule type="cellIs" dxfId="51" priority="52" stopIfTrue="1" operator="greaterThan">
      <formula>0</formula>
    </cfRule>
  </conditionalFormatting>
  <conditionalFormatting sqref="BI101 AO101:AP101 AW101 BA101 BC101:BE101 AS101 AH101 BG101">
    <cfRule type="cellIs" dxfId="50" priority="51" stopIfTrue="1" operator="greaterThan">
      <formula>0</formula>
    </cfRule>
  </conditionalFormatting>
  <conditionalFormatting sqref="Z101">
    <cfRule type="cellIs" dxfId="49" priority="50" stopIfTrue="1" operator="greaterThan">
      <formula>0</formula>
    </cfRule>
  </conditionalFormatting>
  <conditionalFormatting sqref="BI111 AO111:AP111 AW111 BA111 BC111:BE111 AS111 AH111 BG111">
    <cfRule type="cellIs" dxfId="48" priority="49" stopIfTrue="1" operator="greaterThan">
      <formula>0</formula>
    </cfRule>
  </conditionalFormatting>
  <conditionalFormatting sqref="Z111">
    <cfRule type="cellIs" dxfId="47" priority="48" stopIfTrue="1" operator="greaterThan">
      <formula>0</formula>
    </cfRule>
  </conditionalFormatting>
  <conditionalFormatting sqref="BI121 AO121:AP121 AW121 BA121 BC121:BE121 AS121 AH121 BG121">
    <cfRule type="cellIs" dxfId="46" priority="47" stopIfTrue="1" operator="greaterThan">
      <formula>0</formula>
    </cfRule>
  </conditionalFormatting>
  <conditionalFormatting sqref="Z121">
    <cfRule type="cellIs" dxfId="45" priority="46" stopIfTrue="1" operator="greaterThan">
      <formula>0</formula>
    </cfRule>
  </conditionalFormatting>
  <conditionalFormatting sqref="BI131 AO131:AP131 AW131 BA131 BC131:BE131 AS131 AH131 BG131">
    <cfRule type="cellIs" dxfId="44" priority="45" stopIfTrue="1" operator="greaterThan">
      <formula>0</formula>
    </cfRule>
  </conditionalFormatting>
  <conditionalFormatting sqref="Z131">
    <cfRule type="cellIs" dxfId="43" priority="44" stopIfTrue="1" operator="greaterThan">
      <formula>0</formula>
    </cfRule>
  </conditionalFormatting>
  <conditionalFormatting sqref="BI141 AO141:AP141 AW141 BA141 BC141:BE141 AS141 AH141 BG141">
    <cfRule type="cellIs" dxfId="42" priority="43" stopIfTrue="1" operator="greaterThan">
      <formula>0</formula>
    </cfRule>
  </conditionalFormatting>
  <conditionalFormatting sqref="Z141">
    <cfRule type="cellIs" dxfId="41" priority="42" stopIfTrue="1" operator="greaterThan">
      <formula>0</formula>
    </cfRule>
  </conditionalFormatting>
  <conditionalFormatting sqref="BI151 AO151:AP151 AW151 BA151 BC151:BE151 AS151 AH151 BG151">
    <cfRule type="cellIs" dxfId="40" priority="41" stopIfTrue="1" operator="greaterThan">
      <formula>0</formula>
    </cfRule>
  </conditionalFormatting>
  <conditionalFormatting sqref="Z151">
    <cfRule type="cellIs" dxfId="39" priority="40" stopIfTrue="1" operator="greaterThan">
      <formula>0</formula>
    </cfRule>
  </conditionalFormatting>
  <conditionalFormatting sqref="BI161 AO161:AP161 AW161 BA161 BC161:BE161 AS161 AH161 BG161">
    <cfRule type="cellIs" dxfId="38" priority="39" stopIfTrue="1" operator="greaterThan">
      <formula>0</formula>
    </cfRule>
  </conditionalFormatting>
  <conditionalFormatting sqref="Z161">
    <cfRule type="cellIs" dxfId="37" priority="38" stopIfTrue="1" operator="greaterThan">
      <formula>0</formula>
    </cfRule>
  </conditionalFormatting>
  <conditionalFormatting sqref="BI171 AO171:AP171 AW171 BA171 BC171:BE171 AS171 AH171 BG171">
    <cfRule type="cellIs" dxfId="36" priority="37" stopIfTrue="1" operator="greaterThan">
      <formula>0</formula>
    </cfRule>
  </conditionalFormatting>
  <conditionalFormatting sqref="Z171">
    <cfRule type="cellIs" dxfId="35" priority="36" stopIfTrue="1" operator="greaterThan">
      <formula>0</formula>
    </cfRule>
  </conditionalFormatting>
  <conditionalFormatting sqref="BI181 AO181:AP181 AW181 BA181 BC181:BE181 AS181 AH181 BG181">
    <cfRule type="cellIs" dxfId="34" priority="35" stopIfTrue="1" operator="greaterThan">
      <formula>0</formula>
    </cfRule>
  </conditionalFormatting>
  <conditionalFormatting sqref="Z181">
    <cfRule type="cellIs" dxfId="33" priority="34" stopIfTrue="1" operator="greaterThan">
      <formula>0</formula>
    </cfRule>
  </conditionalFormatting>
  <conditionalFormatting sqref="BI191 AO191:AP191 AW191 BA191 BC191:BE191 AS191 AH191 BG191">
    <cfRule type="cellIs" dxfId="32" priority="33" stopIfTrue="1" operator="greaterThan">
      <formula>0</formula>
    </cfRule>
  </conditionalFormatting>
  <conditionalFormatting sqref="Z191">
    <cfRule type="cellIs" dxfId="31" priority="32" stopIfTrue="1" operator="greaterThan">
      <formula>0</formula>
    </cfRule>
  </conditionalFormatting>
  <conditionalFormatting sqref="BI201 AO201:AP201 AW201 BA201 BC201:BE201 AS201 AH201 BG201">
    <cfRule type="cellIs" dxfId="30" priority="31" stopIfTrue="1" operator="greaterThan">
      <formula>0</formula>
    </cfRule>
  </conditionalFormatting>
  <conditionalFormatting sqref="Z201">
    <cfRule type="cellIs" dxfId="29" priority="30" stopIfTrue="1" operator="greaterThan">
      <formula>0</formula>
    </cfRule>
  </conditionalFormatting>
  <conditionalFormatting sqref="BI211 AO211:AP211 AW211 BA211 BC211:BE211 AS211 AH211 BG211">
    <cfRule type="cellIs" dxfId="28" priority="29" stopIfTrue="1" operator="greaterThan">
      <formula>0</formula>
    </cfRule>
  </conditionalFormatting>
  <conditionalFormatting sqref="Z211">
    <cfRule type="cellIs" dxfId="27" priority="28" stopIfTrue="1" operator="greaterThan">
      <formula>0</formula>
    </cfRule>
  </conditionalFormatting>
  <conditionalFormatting sqref="K5">
    <cfRule type="cellIs" dxfId="26" priority="27" stopIfTrue="1" operator="greaterThan">
      <formula>0</formula>
    </cfRule>
  </conditionalFormatting>
  <conditionalFormatting sqref="K1:K65536">
    <cfRule type="cellIs" dxfId="25" priority="25" stopIfTrue="1" operator="greaterThan">
      <formula>0</formula>
    </cfRule>
    <cfRule type="cellIs" dxfId="24" priority="26" stopIfTrue="1" operator="equal">
      <formula>1</formula>
    </cfRule>
  </conditionalFormatting>
  <conditionalFormatting sqref="N5 N21 N37 N53">
    <cfRule type="cellIs" dxfId="23" priority="24" stopIfTrue="1" operator="greaterThan">
      <formula>0</formula>
    </cfRule>
  </conditionalFormatting>
  <conditionalFormatting sqref="N1:N65080">
    <cfRule type="cellIs" dxfId="22" priority="22" stopIfTrue="1" operator="greaterThan">
      <formula>0</formula>
    </cfRule>
    <cfRule type="cellIs" dxfId="21" priority="23" stopIfTrue="1" operator="equal">
      <formula>1</formula>
    </cfRule>
  </conditionalFormatting>
  <conditionalFormatting sqref="N71">
    <cfRule type="cellIs" dxfId="20" priority="21" stopIfTrue="1" operator="greaterThan">
      <formula>0</formula>
    </cfRule>
  </conditionalFormatting>
  <conditionalFormatting sqref="N81">
    <cfRule type="cellIs" dxfId="19" priority="20" stopIfTrue="1" operator="greaterThan">
      <formula>0</formula>
    </cfRule>
  </conditionalFormatting>
  <conditionalFormatting sqref="N91">
    <cfRule type="cellIs" dxfId="18" priority="19" stopIfTrue="1" operator="greaterThan">
      <formula>0</formula>
    </cfRule>
  </conditionalFormatting>
  <conditionalFormatting sqref="N101">
    <cfRule type="cellIs" dxfId="17" priority="18" stopIfTrue="1" operator="greaterThan">
      <formula>0</formula>
    </cfRule>
  </conditionalFormatting>
  <conditionalFormatting sqref="N111">
    <cfRule type="cellIs" dxfId="16" priority="17" stopIfTrue="1" operator="greaterThan">
      <formula>0</formula>
    </cfRule>
  </conditionalFormatting>
  <conditionalFormatting sqref="N121">
    <cfRule type="cellIs" dxfId="15" priority="16" stopIfTrue="1" operator="greaterThan">
      <formula>0</formula>
    </cfRule>
  </conditionalFormatting>
  <conditionalFormatting sqref="N131">
    <cfRule type="cellIs" dxfId="14" priority="15" stopIfTrue="1" operator="greaterThan">
      <formula>0</formula>
    </cfRule>
  </conditionalFormatting>
  <conditionalFormatting sqref="N141">
    <cfRule type="cellIs" dxfId="13" priority="14" stopIfTrue="1" operator="greaterThan">
      <formula>0</formula>
    </cfRule>
  </conditionalFormatting>
  <conditionalFormatting sqref="N151">
    <cfRule type="cellIs" dxfId="12" priority="13" stopIfTrue="1" operator="greaterThan">
      <formula>0</formula>
    </cfRule>
  </conditionalFormatting>
  <conditionalFormatting sqref="N161">
    <cfRule type="cellIs" dxfId="11" priority="12" stopIfTrue="1" operator="greaterThan">
      <formula>0</formula>
    </cfRule>
  </conditionalFormatting>
  <conditionalFormatting sqref="N171">
    <cfRule type="cellIs" dxfId="10" priority="11" stopIfTrue="1" operator="greaterThan">
      <formula>0</formula>
    </cfRule>
  </conditionalFormatting>
  <conditionalFormatting sqref="N181">
    <cfRule type="cellIs" dxfId="9" priority="10" stopIfTrue="1" operator="greaterThan">
      <formula>0</formula>
    </cfRule>
  </conditionalFormatting>
  <conditionalFormatting sqref="N191">
    <cfRule type="cellIs" dxfId="8" priority="9" stopIfTrue="1" operator="greaterThan">
      <formula>0</formula>
    </cfRule>
  </conditionalFormatting>
  <conditionalFormatting sqref="N201">
    <cfRule type="cellIs" dxfId="7" priority="8" stopIfTrue="1" operator="greaterThan">
      <formula>0</formula>
    </cfRule>
  </conditionalFormatting>
  <conditionalFormatting sqref="N211">
    <cfRule type="cellIs" dxfId="6" priority="7" stopIfTrue="1" operator="greaterThan">
      <formula>0</formula>
    </cfRule>
  </conditionalFormatting>
  <conditionalFormatting sqref="T5">
    <cfRule type="cellIs" dxfId="5" priority="6" stopIfTrue="1" operator="greaterThan">
      <formula>0</formula>
    </cfRule>
  </conditionalFormatting>
  <conditionalFormatting sqref="T1:T65536">
    <cfRule type="cellIs" dxfId="4" priority="4" stopIfTrue="1" operator="greaterThan">
      <formula>0</formula>
    </cfRule>
    <cfRule type="cellIs" dxfId="3" priority="5" stopIfTrue="1" operator="equal">
      <formula>1</formula>
    </cfRule>
  </conditionalFormatting>
  <conditionalFormatting sqref="BM5">
    <cfRule type="cellIs" dxfId="2" priority="3" stopIfTrue="1" operator="greaterThan">
      <formula>0</formula>
    </cfRule>
  </conditionalFormatting>
  <conditionalFormatting sqref="BM1:BM65536">
    <cfRule type="cellIs" dxfId="1" priority="1" stopIfTrue="1" operator="greaterThan">
      <formula>0</formula>
    </cfRule>
    <cfRule type="cellIs" dxfId="0" priority="2" stopIfTrue="1" operator="equal">
      <formula>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O68"/>
  <sheetViews>
    <sheetView topLeftCell="A7" workbookViewId="0">
      <selection activeCell="F4" sqref="F4"/>
    </sheetView>
  </sheetViews>
  <sheetFormatPr defaultRowHeight="11.25"/>
  <cols>
    <col min="1" max="1" width="5.42578125" style="236" customWidth="1"/>
    <col min="2" max="2" width="3.42578125" style="236" customWidth="1"/>
    <col min="3" max="3" width="11" style="239" customWidth="1"/>
    <col min="4" max="4" width="13.5703125" style="239" customWidth="1"/>
    <col min="5" max="5" width="15.5703125" style="239" customWidth="1"/>
    <col min="6" max="6" width="24.28515625" style="239" customWidth="1"/>
    <col min="7" max="7" width="2.42578125" style="239" customWidth="1"/>
    <col min="8" max="8" width="11.140625" style="239" customWidth="1"/>
    <col min="9" max="9" width="14.28515625" style="239" customWidth="1"/>
    <col min="10" max="10" width="24.140625" style="240" customWidth="1"/>
    <col min="11" max="15" width="21.28515625" style="240" customWidth="1"/>
    <col min="16" max="256" width="9.140625" style="238"/>
    <col min="257" max="257" width="5.42578125" style="238" customWidth="1"/>
    <col min="258" max="258" width="3.42578125" style="238" customWidth="1"/>
    <col min="259" max="259" width="11" style="238" customWidth="1"/>
    <col min="260" max="260" width="13.5703125" style="238" customWidth="1"/>
    <col min="261" max="261" width="15.5703125" style="238" customWidth="1"/>
    <col min="262" max="262" width="24.28515625" style="238" customWidth="1"/>
    <col min="263" max="263" width="2.42578125" style="238" customWidth="1"/>
    <col min="264" max="264" width="11.140625" style="238" customWidth="1"/>
    <col min="265" max="265" width="14.28515625" style="238" customWidth="1"/>
    <col min="266" max="271" width="21.28515625" style="238" customWidth="1"/>
    <col min="272" max="512" width="9.140625" style="238"/>
    <col min="513" max="513" width="5.42578125" style="238" customWidth="1"/>
    <col min="514" max="514" width="3.42578125" style="238" customWidth="1"/>
    <col min="515" max="515" width="11" style="238" customWidth="1"/>
    <col min="516" max="516" width="13.5703125" style="238" customWidth="1"/>
    <col min="517" max="517" width="15.5703125" style="238" customWidth="1"/>
    <col min="518" max="518" width="24.28515625" style="238" customWidth="1"/>
    <col min="519" max="519" width="2.42578125" style="238" customWidth="1"/>
    <col min="520" max="520" width="11.140625" style="238" customWidth="1"/>
    <col min="521" max="521" width="14.28515625" style="238" customWidth="1"/>
    <col min="522" max="527" width="21.28515625" style="238" customWidth="1"/>
    <col min="528" max="768" width="9.140625" style="238"/>
    <col min="769" max="769" width="5.42578125" style="238" customWidth="1"/>
    <col min="770" max="770" width="3.42578125" style="238" customWidth="1"/>
    <col min="771" max="771" width="11" style="238" customWidth="1"/>
    <col min="772" max="772" width="13.5703125" style="238" customWidth="1"/>
    <col min="773" max="773" width="15.5703125" style="238" customWidth="1"/>
    <col min="774" max="774" width="24.28515625" style="238" customWidth="1"/>
    <col min="775" max="775" width="2.42578125" style="238" customWidth="1"/>
    <col min="776" max="776" width="11.140625" style="238" customWidth="1"/>
    <col min="777" max="777" width="14.28515625" style="238" customWidth="1"/>
    <col min="778" max="783" width="21.28515625" style="238" customWidth="1"/>
    <col min="784" max="1024" width="9.140625" style="238"/>
    <col min="1025" max="1025" width="5.42578125" style="238" customWidth="1"/>
    <col min="1026" max="1026" width="3.42578125" style="238" customWidth="1"/>
    <col min="1027" max="1027" width="11" style="238" customWidth="1"/>
    <col min="1028" max="1028" width="13.5703125" style="238" customWidth="1"/>
    <col min="1029" max="1029" width="15.5703125" style="238" customWidth="1"/>
    <col min="1030" max="1030" width="24.28515625" style="238" customWidth="1"/>
    <col min="1031" max="1031" width="2.42578125" style="238" customWidth="1"/>
    <col min="1032" max="1032" width="11.140625" style="238" customWidth="1"/>
    <col min="1033" max="1033" width="14.28515625" style="238" customWidth="1"/>
    <col min="1034" max="1039" width="21.28515625" style="238" customWidth="1"/>
    <col min="1040" max="1280" width="9.140625" style="238"/>
    <col min="1281" max="1281" width="5.42578125" style="238" customWidth="1"/>
    <col min="1282" max="1282" width="3.42578125" style="238" customWidth="1"/>
    <col min="1283" max="1283" width="11" style="238" customWidth="1"/>
    <col min="1284" max="1284" width="13.5703125" style="238" customWidth="1"/>
    <col min="1285" max="1285" width="15.5703125" style="238" customWidth="1"/>
    <col min="1286" max="1286" width="24.28515625" style="238" customWidth="1"/>
    <col min="1287" max="1287" width="2.42578125" style="238" customWidth="1"/>
    <col min="1288" max="1288" width="11.140625" style="238" customWidth="1"/>
    <col min="1289" max="1289" width="14.28515625" style="238" customWidth="1"/>
    <col min="1290" max="1295" width="21.28515625" style="238" customWidth="1"/>
    <col min="1296" max="1536" width="9.140625" style="238"/>
    <col min="1537" max="1537" width="5.42578125" style="238" customWidth="1"/>
    <col min="1538" max="1538" width="3.42578125" style="238" customWidth="1"/>
    <col min="1539" max="1539" width="11" style="238" customWidth="1"/>
    <col min="1540" max="1540" width="13.5703125" style="238" customWidth="1"/>
    <col min="1541" max="1541" width="15.5703125" style="238" customWidth="1"/>
    <col min="1542" max="1542" width="24.28515625" style="238" customWidth="1"/>
    <col min="1543" max="1543" width="2.42578125" style="238" customWidth="1"/>
    <col min="1544" max="1544" width="11.140625" style="238" customWidth="1"/>
    <col min="1545" max="1545" width="14.28515625" style="238" customWidth="1"/>
    <col min="1546" max="1551" width="21.28515625" style="238" customWidth="1"/>
    <col min="1552" max="1792" width="9.140625" style="238"/>
    <col min="1793" max="1793" width="5.42578125" style="238" customWidth="1"/>
    <col min="1794" max="1794" width="3.42578125" style="238" customWidth="1"/>
    <col min="1795" max="1795" width="11" style="238" customWidth="1"/>
    <col min="1796" max="1796" width="13.5703125" style="238" customWidth="1"/>
    <col min="1797" max="1797" width="15.5703125" style="238" customWidth="1"/>
    <col min="1798" max="1798" width="24.28515625" style="238" customWidth="1"/>
    <col min="1799" max="1799" width="2.42578125" style="238" customWidth="1"/>
    <col min="1800" max="1800" width="11.140625" style="238" customWidth="1"/>
    <col min="1801" max="1801" width="14.28515625" style="238" customWidth="1"/>
    <col min="1802" max="1807" width="21.28515625" style="238" customWidth="1"/>
    <col min="1808" max="2048" width="9.140625" style="238"/>
    <col min="2049" max="2049" width="5.42578125" style="238" customWidth="1"/>
    <col min="2050" max="2050" width="3.42578125" style="238" customWidth="1"/>
    <col min="2051" max="2051" width="11" style="238" customWidth="1"/>
    <col min="2052" max="2052" width="13.5703125" style="238" customWidth="1"/>
    <col min="2053" max="2053" width="15.5703125" style="238" customWidth="1"/>
    <col min="2054" max="2054" width="24.28515625" style="238" customWidth="1"/>
    <col min="2055" max="2055" width="2.42578125" style="238" customWidth="1"/>
    <col min="2056" max="2056" width="11.140625" style="238" customWidth="1"/>
    <col min="2057" max="2057" width="14.28515625" style="238" customWidth="1"/>
    <col min="2058" max="2063" width="21.28515625" style="238" customWidth="1"/>
    <col min="2064" max="2304" width="9.140625" style="238"/>
    <col min="2305" max="2305" width="5.42578125" style="238" customWidth="1"/>
    <col min="2306" max="2306" width="3.42578125" style="238" customWidth="1"/>
    <col min="2307" max="2307" width="11" style="238" customWidth="1"/>
    <col min="2308" max="2308" width="13.5703125" style="238" customWidth="1"/>
    <col min="2309" max="2309" width="15.5703125" style="238" customWidth="1"/>
    <col min="2310" max="2310" width="24.28515625" style="238" customWidth="1"/>
    <col min="2311" max="2311" width="2.42578125" style="238" customWidth="1"/>
    <col min="2312" max="2312" width="11.140625" style="238" customWidth="1"/>
    <col min="2313" max="2313" width="14.28515625" style="238" customWidth="1"/>
    <col min="2314" max="2319" width="21.28515625" style="238" customWidth="1"/>
    <col min="2320" max="2560" width="9.140625" style="238"/>
    <col min="2561" max="2561" width="5.42578125" style="238" customWidth="1"/>
    <col min="2562" max="2562" width="3.42578125" style="238" customWidth="1"/>
    <col min="2563" max="2563" width="11" style="238" customWidth="1"/>
    <col min="2564" max="2564" width="13.5703125" style="238" customWidth="1"/>
    <col min="2565" max="2565" width="15.5703125" style="238" customWidth="1"/>
    <col min="2566" max="2566" width="24.28515625" style="238" customWidth="1"/>
    <col min="2567" max="2567" width="2.42578125" style="238" customWidth="1"/>
    <col min="2568" max="2568" width="11.140625" style="238" customWidth="1"/>
    <col min="2569" max="2569" width="14.28515625" style="238" customWidth="1"/>
    <col min="2570" max="2575" width="21.28515625" style="238" customWidth="1"/>
    <col min="2576" max="2816" width="9.140625" style="238"/>
    <col min="2817" max="2817" width="5.42578125" style="238" customWidth="1"/>
    <col min="2818" max="2818" width="3.42578125" style="238" customWidth="1"/>
    <col min="2819" max="2819" width="11" style="238" customWidth="1"/>
    <col min="2820" max="2820" width="13.5703125" style="238" customWidth="1"/>
    <col min="2821" max="2821" width="15.5703125" style="238" customWidth="1"/>
    <col min="2822" max="2822" width="24.28515625" style="238" customWidth="1"/>
    <col min="2823" max="2823" width="2.42578125" style="238" customWidth="1"/>
    <col min="2824" max="2824" width="11.140625" style="238" customWidth="1"/>
    <col min="2825" max="2825" width="14.28515625" style="238" customWidth="1"/>
    <col min="2826" max="2831" width="21.28515625" style="238" customWidth="1"/>
    <col min="2832" max="3072" width="9.140625" style="238"/>
    <col min="3073" max="3073" width="5.42578125" style="238" customWidth="1"/>
    <col min="3074" max="3074" width="3.42578125" style="238" customWidth="1"/>
    <col min="3075" max="3075" width="11" style="238" customWidth="1"/>
    <col min="3076" max="3076" width="13.5703125" style="238" customWidth="1"/>
    <col min="3077" max="3077" width="15.5703125" style="238" customWidth="1"/>
    <col min="3078" max="3078" width="24.28515625" style="238" customWidth="1"/>
    <col min="3079" max="3079" width="2.42578125" style="238" customWidth="1"/>
    <col min="3080" max="3080" width="11.140625" style="238" customWidth="1"/>
    <col min="3081" max="3081" width="14.28515625" style="238" customWidth="1"/>
    <col min="3082" max="3087" width="21.28515625" style="238" customWidth="1"/>
    <col min="3088" max="3328" width="9.140625" style="238"/>
    <col min="3329" max="3329" width="5.42578125" style="238" customWidth="1"/>
    <col min="3330" max="3330" width="3.42578125" style="238" customWidth="1"/>
    <col min="3331" max="3331" width="11" style="238" customWidth="1"/>
    <col min="3332" max="3332" width="13.5703125" style="238" customWidth="1"/>
    <col min="3333" max="3333" width="15.5703125" style="238" customWidth="1"/>
    <col min="3334" max="3334" width="24.28515625" style="238" customWidth="1"/>
    <col min="3335" max="3335" width="2.42578125" style="238" customWidth="1"/>
    <col min="3336" max="3336" width="11.140625" style="238" customWidth="1"/>
    <col min="3337" max="3337" width="14.28515625" style="238" customWidth="1"/>
    <col min="3338" max="3343" width="21.28515625" style="238" customWidth="1"/>
    <col min="3344" max="3584" width="9.140625" style="238"/>
    <col min="3585" max="3585" width="5.42578125" style="238" customWidth="1"/>
    <col min="3586" max="3586" width="3.42578125" style="238" customWidth="1"/>
    <col min="3587" max="3587" width="11" style="238" customWidth="1"/>
    <col min="3588" max="3588" width="13.5703125" style="238" customWidth="1"/>
    <col min="3589" max="3589" width="15.5703125" style="238" customWidth="1"/>
    <col min="3590" max="3590" width="24.28515625" style="238" customWidth="1"/>
    <col min="3591" max="3591" width="2.42578125" style="238" customWidth="1"/>
    <col min="3592" max="3592" width="11.140625" style="238" customWidth="1"/>
    <col min="3593" max="3593" width="14.28515625" style="238" customWidth="1"/>
    <col min="3594" max="3599" width="21.28515625" style="238" customWidth="1"/>
    <col min="3600" max="3840" width="9.140625" style="238"/>
    <col min="3841" max="3841" width="5.42578125" style="238" customWidth="1"/>
    <col min="3842" max="3842" width="3.42578125" style="238" customWidth="1"/>
    <col min="3843" max="3843" width="11" style="238" customWidth="1"/>
    <col min="3844" max="3844" width="13.5703125" style="238" customWidth="1"/>
    <col min="3845" max="3845" width="15.5703125" style="238" customWidth="1"/>
    <col min="3846" max="3846" width="24.28515625" style="238" customWidth="1"/>
    <col min="3847" max="3847" width="2.42578125" style="238" customWidth="1"/>
    <col min="3848" max="3848" width="11.140625" style="238" customWidth="1"/>
    <col min="3849" max="3849" width="14.28515625" style="238" customWidth="1"/>
    <col min="3850" max="3855" width="21.28515625" style="238" customWidth="1"/>
    <col min="3856" max="4096" width="9.140625" style="238"/>
    <col min="4097" max="4097" width="5.42578125" style="238" customWidth="1"/>
    <col min="4098" max="4098" width="3.42578125" style="238" customWidth="1"/>
    <col min="4099" max="4099" width="11" style="238" customWidth="1"/>
    <col min="4100" max="4100" width="13.5703125" style="238" customWidth="1"/>
    <col min="4101" max="4101" width="15.5703125" style="238" customWidth="1"/>
    <col min="4102" max="4102" width="24.28515625" style="238" customWidth="1"/>
    <col min="4103" max="4103" width="2.42578125" style="238" customWidth="1"/>
    <col min="4104" max="4104" width="11.140625" style="238" customWidth="1"/>
    <col min="4105" max="4105" width="14.28515625" style="238" customWidth="1"/>
    <col min="4106" max="4111" width="21.28515625" style="238" customWidth="1"/>
    <col min="4112" max="4352" width="9.140625" style="238"/>
    <col min="4353" max="4353" width="5.42578125" style="238" customWidth="1"/>
    <col min="4354" max="4354" width="3.42578125" style="238" customWidth="1"/>
    <col min="4355" max="4355" width="11" style="238" customWidth="1"/>
    <col min="4356" max="4356" width="13.5703125" style="238" customWidth="1"/>
    <col min="4357" max="4357" width="15.5703125" style="238" customWidth="1"/>
    <col min="4358" max="4358" width="24.28515625" style="238" customWidth="1"/>
    <col min="4359" max="4359" width="2.42578125" style="238" customWidth="1"/>
    <col min="4360" max="4360" width="11.140625" style="238" customWidth="1"/>
    <col min="4361" max="4361" width="14.28515625" style="238" customWidth="1"/>
    <col min="4362" max="4367" width="21.28515625" style="238" customWidth="1"/>
    <col min="4368" max="4608" width="9.140625" style="238"/>
    <col min="4609" max="4609" width="5.42578125" style="238" customWidth="1"/>
    <col min="4610" max="4610" width="3.42578125" style="238" customWidth="1"/>
    <col min="4611" max="4611" width="11" style="238" customWidth="1"/>
    <col min="4612" max="4612" width="13.5703125" style="238" customWidth="1"/>
    <col min="4613" max="4613" width="15.5703125" style="238" customWidth="1"/>
    <col min="4614" max="4614" width="24.28515625" style="238" customWidth="1"/>
    <col min="4615" max="4615" width="2.42578125" style="238" customWidth="1"/>
    <col min="4616" max="4616" width="11.140625" style="238" customWidth="1"/>
    <col min="4617" max="4617" width="14.28515625" style="238" customWidth="1"/>
    <col min="4618" max="4623" width="21.28515625" style="238" customWidth="1"/>
    <col min="4624" max="4864" width="9.140625" style="238"/>
    <col min="4865" max="4865" width="5.42578125" style="238" customWidth="1"/>
    <col min="4866" max="4866" width="3.42578125" style="238" customWidth="1"/>
    <col min="4867" max="4867" width="11" style="238" customWidth="1"/>
    <col min="4868" max="4868" width="13.5703125" style="238" customWidth="1"/>
    <col min="4869" max="4869" width="15.5703125" style="238" customWidth="1"/>
    <col min="4870" max="4870" width="24.28515625" style="238" customWidth="1"/>
    <col min="4871" max="4871" width="2.42578125" style="238" customWidth="1"/>
    <col min="4872" max="4872" width="11.140625" style="238" customWidth="1"/>
    <col min="4873" max="4873" width="14.28515625" style="238" customWidth="1"/>
    <col min="4874" max="4879" width="21.28515625" style="238" customWidth="1"/>
    <col min="4880" max="5120" width="9.140625" style="238"/>
    <col min="5121" max="5121" width="5.42578125" style="238" customWidth="1"/>
    <col min="5122" max="5122" width="3.42578125" style="238" customWidth="1"/>
    <col min="5123" max="5123" width="11" style="238" customWidth="1"/>
    <col min="5124" max="5124" width="13.5703125" style="238" customWidth="1"/>
    <col min="5125" max="5125" width="15.5703125" style="238" customWidth="1"/>
    <col min="5126" max="5126" width="24.28515625" style="238" customWidth="1"/>
    <col min="5127" max="5127" width="2.42578125" style="238" customWidth="1"/>
    <col min="5128" max="5128" width="11.140625" style="238" customWidth="1"/>
    <col min="5129" max="5129" width="14.28515625" style="238" customWidth="1"/>
    <col min="5130" max="5135" width="21.28515625" style="238" customWidth="1"/>
    <col min="5136" max="5376" width="9.140625" style="238"/>
    <col min="5377" max="5377" width="5.42578125" style="238" customWidth="1"/>
    <col min="5378" max="5378" width="3.42578125" style="238" customWidth="1"/>
    <col min="5379" max="5379" width="11" style="238" customWidth="1"/>
    <col min="5380" max="5380" width="13.5703125" style="238" customWidth="1"/>
    <col min="5381" max="5381" width="15.5703125" style="238" customWidth="1"/>
    <col min="5382" max="5382" width="24.28515625" style="238" customWidth="1"/>
    <col min="5383" max="5383" width="2.42578125" style="238" customWidth="1"/>
    <col min="5384" max="5384" width="11.140625" style="238" customWidth="1"/>
    <col min="5385" max="5385" width="14.28515625" style="238" customWidth="1"/>
    <col min="5386" max="5391" width="21.28515625" style="238" customWidth="1"/>
    <col min="5392" max="5632" width="9.140625" style="238"/>
    <col min="5633" max="5633" width="5.42578125" style="238" customWidth="1"/>
    <col min="5634" max="5634" width="3.42578125" style="238" customWidth="1"/>
    <col min="5635" max="5635" width="11" style="238" customWidth="1"/>
    <col min="5636" max="5636" width="13.5703125" style="238" customWidth="1"/>
    <col min="5637" max="5637" width="15.5703125" style="238" customWidth="1"/>
    <col min="5638" max="5638" width="24.28515625" style="238" customWidth="1"/>
    <col min="5639" max="5639" width="2.42578125" style="238" customWidth="1"/>
    <col min="5640" max="5640" width="11.140625" style="238" customWidth="1"/>
    <col min="5641" max="5641" width="14.28515625" style="238" customWidth="1"/>
    <col min="5642" max="5647" width="21.28515625" style="238" customWidth="1"/>
    <col min="5648" max="5888" width="9.140625" style="238"/>
    <col min="5889" max="5889" width="5.42578125" style="238" customWidth="1"/>
    <col min="5890" max="5890" width="3.42578125" style="238" customWidth="1"/>
    <col min="5891" max="5891" width="11" style="238" customWidth="1"/>
    <col min="5892" max="5892" width="13.5703125" style="238" customWidth="1"/>
    <col min="5893" max="5893" width="15.5703125" style="238" customWidth="1"/>
    <col min="5894" max="5894" width="24.28515625" style="238" customWidth="1"/>
    <col min="5895" max="5895" width="2.42578125" style="238" customWidth="1"/>
    <col min="5896" max="5896" width="11.140625" style="238" customWidth="1"/>
    <col min="5897" max="5897" width="14.28515625" style="238" customWidth="1"/>
    <col min="5898" max="5903" width="21.28515625" style="238" customWidth="1"/>
    <col min="5904" max="6144" width="9.140625" style="238"/>
    <col min="6145" max="6145" width="5.42578125" style="238" customWidth="1"/>
    <col min="6146" max="6146" width="3.42578125" style="238" customWidth="1"/>
    <col min="6147" max="6147" width="11" style="238" customWidth="1"/>
    <col min="6148" max="6148" width="13.5703125" style="238" customWidth="1"/>
    <col min="6149" max="6149" width="15.5703125" style="238" customWidth="1"/>
    <col min="6150" max="6150" width="24.28515625" style="238" customWidth="1"/>
    <col min="6151" max="6151" width="2.42578125" style="238" customWidth="1"/>
    <col min="6152" max="6152" width="11.140625" style="238" customWidth="1"/>
    <col min="6153" max="6153" width="14.28515625" style="238" customWidth="1"/>
    <col min="6154" max="6159" width="21.28515625" style="238" customWidth="1"/>
    <col min="6160" max="6400" width="9.140625" style="238"/>
    <col min="6401" max="6401" width="5.42578125" style="238" customWidth="1"/>
    <col min="6402" max="6402" width="3.42578125" style="238" customWidth="1"/>
    <col min="6403" max="6403" width="11" style="238" customWidth="1"/>
    <col min="6404" max="6404" width="13.5703125" style="238" customWidth="1"/>
    <col min="6405" max="6405" width="15.5703125" style="238" customWidth="1"/>
    <col min="6406" max="6406" width="24.28515625" style="238" customWidth="1"/>
    <col min="6407" max="6407" width="2.42578125" style="238" customWidth="1"/>
    <col min="6408" max="6408" width="11.140625" style="238" customWidth="1"/>
    <col min="6409" max="6409" width="14.28515625" style="238" customWidth="1"/>
    <col min="6410" max="6415" width="21.28515625" style="238" customWidth="1"/>
    <col min="6416" max="6656" width="9.140625" style="238"/>
    <col min="6657" max="6657" width="5.42578125" style="238" customWidth="1"/>
    <col min="6658" max="6658" width="3.42578125" style="238" customWidth="1"/>
    <col min="6659" max="6659" width="11" style="238" customWidth="1"/>
    <col min="6660" max="6660" width="13.5703125" style="238" customWidth="1"/>
    <col min="6661" max="6661" width="15.5703125" style="238" customWidth="1"/>
    <col min="6662" max="6662" width="24.28515625" style="238" customWidth="1"/>
    <col min="6663" max="6663" width="2.42578125" style="238" customWidth="1"/>
    <col min="6664" max="6664" width="11.140625" style="238" customWidth="1"/>
    <col min="6665" max="6665" width="14.28515625" style="238" customWidth="1"/>
    <col min="6666" max="6671" width="21.28515625" style="238" customWidth="1"/>
    <col min="6672" max="6912" width="9.140625" style="238"/>
    <col min="6913" max="6913" width="5.42578125" style="238" customWidth="1"/>
    <col min="6914" max="6914" width="3.42578125" style="238" customWidth="1"/>
    <col min="6915" max="6915" width="11" style="238" customWidth="1"/>
    <col min="6916" max="6916" width="13.5703125" style="238" customWidth="1"/>
    <col min="6917" max="6917" width="15.5703125" style="238" customWidth="1"/>
    <col min="6918" max="6918" width="24.28515625" style="238" customWidth="1"/>
    <col min="6919" max="6919" width="2.42578125" style="238" customWidth="1"/>
    <col min="6920" max="6920" width="11.140625" style="238" customWidth="1"/>
    <col min="6921" max="6921" width="14.28515625" style="238" customWidth="1"/>
    <col min="6922" max="6927" width="21.28515625" style="238" customWidth="1"/>
    <col min="6928" max="7168" width="9.140625" style="238"/>
    <col min="7169" max="7169" width="5.42578125" style="238" customWidth="1"/>
    <col min="7170" max="7170" width="3.42578125" style="238" customWidth="1"/>
    <col min="7171" max="7171" width="11" style="238" customWidth="1"/>
    <col min="7172" max="7172" width="13.5703125" style="238" customWidth="1"/>
    <col min="7173" max="7173" width="15.5703125" style="238" customWidth="1"/>
    <col min="7174" max="7174" width="24.28515625" style="238" customWidth="1"/>
    <col min="7175" max="7175" width="2.42578125" style="238" customWidth="1"/>
    <col min="7176" max="7176" width="11.140625" style="238" customWidth="1"/>
    <col min="7177" max="7177" width="14.28515625" style="238" customWidth="1"/>
    <col min="7178" max="7183" width="21.28515625" style="238" customWidth="1"/>
    <col min="7184" max="7424" width="9.140625" style="238"/>
    <col min="7425" max="7425" width="5.42578125" style="238" customWidth="1"/>
    <col min="7426" max="7426" width="3.42578125" style="238" customWidth="1"/>
    <col min="7427" max="7427" width="11" style="238" customWidth="1"/>
    <col min="7428" max="7428" width="13.5703125" style="238" customWidth="1"/>
    <col min="7429" max="7429" width="15.5703125" style="238" customWidth="1"/>
    <col min="7430" max="7430" width="24.28515625" style="238" customWidth="1"/>
    <col min="7431" max="7431" width="2.42578125" style="238" customWidth="1"/>
    <col min="7432" max="7432" width="11.140625" style="238" customWidth="1"/>
    <col min="7433" max="7433" width="14.28515625" style="238" customWidth="1"/>
    <col min="7434" max="7439" width="21.28515625" style="238" customWidth="1"/>
    <col min="7440" max="7680" width="9.140625" style="238"/>
    <col min="7681" max="7681" width="5.42578125" style="238" customWidth="1"/>
    <col min="7682" max="7682" width="3.42578125" style="238" customWidth="1"/>
    <col min="7683" max="7683" width="11" style="238" customWidth="1"/>
    <col min="7684" max="7684" width="13.5703125" style="238" customWidth="1"/>
    <col min="7685" max="7685" width="15.5703125" style="238" customWidth="1"/>
    <col min="7686" max="7686" width="24.28515625" style="238" customWidth="1"/>
    <col min="7687" max="7687" width="2.42578125" style="238" customWidth="1"/>
    <col min="7688" max="7688" width="11.140625" style="238" customWidth="1"/>
    <col min="7689" max="7689" width="14.28515625" style="238" customWidth="1"/>
    <col min="7690" max="7695" width="21.28515625" style="238" customWidth="1"/>
    <col min="7696" max="7936" width="9.140625" style="238"/>
    <col min="7937" max="7937" width="5.42578125" style="238" customWidth="1"/>
    <col min="7938" max="7938" width="3.42578125" style="238" customWidth="1"/>
    <col min="7939" max="7939" width="11" style="238" customWidth="1"/>
    <col min="7940" max="7940" width="13.5703125" style="238" customWidth="1"/>
    <col min="7941" max="7941" width="15.5703125" style="238" customWidth="1"/>
    <col min="7942" max="7942" width="24.28515625" style="238" customWidth="1"/>
    <col min="7943" max="7943" width="2.42578125" style="238" customWidth="1"/>
    <col min="7944" max="7944" width="11.140625" style="238" customWidth="1"/>
    <col min="7945" max="7945" width="14.28515625" style="238" customWidth="1"/>
    <col min="7946" max="7951" width="21.28515625" style="238" customWidth="1"/>
    <col min="7952" max="8192" width="9.140625" style="238"/>
    <col min="8193" max="8193" width="5.42578125" style="238" customWidth="1"/>
    <col min="8194" max="8194" width="3.42578125" style="238" customWidth="1"/>
    <col min="8195" max="8195" width="11" style="238" customWidth="1"/>
    <col min="8196" max="8196" width="13.5703125" style="238" customWidth="1"/>
    <col min="8197" max="8197" width="15.5703125" style="238" customWidth="1"/>
    <col min="8198" max="8198" width="24.28515625" style="238" customWidth="1"/>
    <col min="8199" max="8199" width="2.42578125" style="238" customWidth="1"/>
    <col min="8200" max="8200" width="11.140625" style="238" customWidth="1"/>
    <col min="8201" max="8201" width="14.28515625" style="238" customWidth="1"/>
    <col min="8202" max="8207" width="21.28515625" style="238" customWidth="1"/>
    <col min="8208" max="8448" width="9.140625" style="238"/>
    <col min="8449" max="8449" width="5.42578125" style="238" customWidth="1"/>
    <col min="8450" max="8450" width="3.42578125" style="238" customWidth="1"/>
    <col min="8451" max="8451" width="11" style="238" customWidth="1"/>
    <col min="8452" max="8452" width="13.5703125" style="238" customWidth="1"/>
    <col min="8453" max="8453" width="15.5703125" style="238" customWidth="1"/>
    <col min="8454" max="8454" width="24.28515625" style="238" customWidth="1"/>
    <col min="8455" max="8455" width="2.42578125" style="238" customWidth="1"/>
    <col min="8456" max="8456" width="11.140625" style="238" customWidth="1"/>
    <col min="8457" max="8457" width="14.28515625" style="238" customWidth="1"/>
    <col min="8458" max="8463" width="21.28515625" style="238" customWidth="1"/>
    <col min="8464" max="8704" width="9.140625" style="238"/>
    <col min="8705" max="8705" width="5.42578125" style="238" customWidth="1"/>
    <col min="8706" max="8706" width="3.42578125" style="238" customWidth="1"/>
    <col min="8707" max="8707" width="11" style="238" customWidth="1"/>
    <col min="8708" max="8708" width="13.5703125" style="238" customWidth="1"/>
    <col min="8709" max="8709" width="15.5703125" style="238" customWidth="1"/>
    <col min="8710" max="8710" width="24.28515625" style="238" customWidth="1"/>
    <col min="8711" max="8711" width="2.42578125" style="238" customWidth="1"/>
    <col min="8712" max="8712" width="11.140625" style="238" customWidth="1"/>
    <col min="8713" max="8713" width="14.28515625" style="238" customWidth="1"/>
    <col min="8714" max="8719" width="21.28515625" style="238" customWidth="1"/>
    <col min="8720" max="8960" width="9.140625" style="238"/>
    <col min="8961" max="8961" width="5.42578125" style="238" customWidth="1"/>
    <col min="8962" max="8962" width="3.42578125" style="238" customWidth="1"/>
    <col min="8963" max="8963" width="11" style="238" customWidth="1"/>
    <col min="8964" max="8964" width="13.5703125" style="238" customWidth="1"/>
    <col min="8965" max="8965" width="15.5703125" style="238" customWidth="1"/>
    <col min="8966" max="8966" width="24.28515625" style="238" customWidth="1"/>
    <col min="8967" max="8967" width="2.42578125" style="238" customWidth="1"/>
    <col min="8968" max="8968" width="11.140625" style="238" customWidth="1"/>
    <col min="8969" max="8969" width="14.28515625" style="238" customWidth="1"/>
    <col min="8970" max="8975" width="21.28515625" style="238" customWidth="1"/>
    <col min="8976" max="9216" width="9.140625" style="238"/>
    <col min="9217" max="9217" width="5.42578125" style="238" customWidth="1"/>
    <col min="9218" max="9218" width="3.42578125" style="238" customWidth="1"/>
    <col min="9219" max="9219" width="11" style="238" customWidth="1"/>
    <col min="9220" max="9220" width="13.5703125" style="238" customWidth="1"/>
    <col min="9221" max="9221" width="15.5703125" style="238" customWidth="1"/>
    <col min="9222" max="9222" width="24.28515625" style="238" customWidth="1"/>
    <col min="9223" max="9223" width="2.42578125" style="238" customWidth="1"/>
    <col min="9224" max="9224" width="11.140625" style="238" customWidth="1"/>
    <col min="9225" max="9225" width="14.28515625" style="238" customWidth="1"/>
    <col min="9226" max="9231" width="21.28515625" style="238" customWidth="1"/>
    <col min="9232" max="9472" width="9.140625" style="238"/>
    <col min="9473" max="9473" width="5.42578125" style="238" customWidth="1"/>
    <col min="9474" max="9474" width="3.42578125" style="238" customWidth="1"/>
    <col min="9475" max="9475" width="11" style="238" customWidth="1"/>
    <col min="9476" max="9476" width="13.5703125" style="238" customWidth="1"/>
    <col min="9477" max="9477" width="15.5703125" style="238" customWidth="1"/>
    <col min="9478" max="9478" width="24.28515625" style="238" customWidth="1"/>
    <col min="9479" max="9479" width="2.42578125" style="238" customWidth="1"/>
    <col min="9480" max="9480" width="11.140625" style="238" customWidth="1"/>
    <col min="9481" max="9481" width="14.28515625" style="238" customWidth="1"/>
    <col min="9482" max="9487" width="21.28515625" style="238" customWidth="1"/>
    <col min="9488" max="9728" width="9.140625" style="238"/>
    <col min="9729" max="9729" width="5.42578125" style="238" customWidth="1"/>
    <col min="9730" max="9730" width="3.42578125" style="238" customWidth="1"/>
    <col min="9731" max="9731" width="11" style="238" customWidth="1"/>
    <col min="9732" max="9732" width="13.5703125" style="238" customWidth="1"/>
    <col min="9733" max="9733" width="15.5703125" style="238" customWidth="1"/>
    <col min="9734" max="9734" width="24.28515625" style="238" customWidth="1"/>
    <col min="9735" max="9735" width="2.42578125" style="238" customWidth="1"/>
    <col min="9736" max="9736" width="11.140625" style="238" customWidth="1"/>
    <col min="9737" max="9737" width="14.28515625" style="238" customWidth="1"/>
    <col min="9738" max="9743" width="21.28515625" style="238" customWidth="1"/>
    <col min="9744" max="9984" width="9.140625" style="238"/>
    <col min="9985" max="9985" width="5.42578125" style="238" customWidth="1"/>
    <col min="9986" max="9986" width="3.42578125" style="238" customWidth="1"/>
    <col min="9987" max="9987" width="11" style="238" customWidth="1"/>
    <col min="9988" max="9988" width="13.5703125" style="238" customWidth="1"/>
    <col min="9989" max="9989" width="15.5703125" style="238" customWidth="1"/>
    <col min="9990" max="9990" width="24.28515625" style="238" customWidth="1"/>
    <col min="9991" max="9991" width="2.42578125" style="238" customWidth="1"/>
    <col min="9992" max="9992" width="11.140625" style="238" customWidth="1"/>
    <col min="9993" max="9993" width="14.28515625" style="238" customWidth="1"/>
    <col min="9994" max="9999" width="21.28515625" style="238" customWidth="1"/>
    <col min="10000" max="10240" width="9.140625" style="238"/>
    <col min="10241" max="10241" width="5.42578125" style="238" customWidth="1"/>
    <col min="10242" max="10242" width="3.42578125" style="238" customWidth="1"/>
    <col min="10243" max="10243" width="11" style="238" customWidth="1"/>
    <col min="10244" max="10244" width="13.5703125" style="238" customWidth="1"/>
    <col min="10245" max="10245" width="15.5703125" style="238" customWidth="1"/>
    <col min="10246" max="10246" width="24.28515625" style="238" customWidth="1"/>
    <col min="10247" max="10247" width="2.42578125" style="238" customWidth="1"/>
    <col min="10248" max="10248" width="11.140625" style="238" customWidth="1"/>
    <col min="10249" max="10249" width="14.28515625" style="238" customWidth="1"/>
    <col min="10250" max="10255" width="21.28515625" style="238" customWidth="1"/>
    <col min="10256" max="10496" width="9.140625" style="238"/>
    <col min="10497" max="10497" width="5.42578125" style="238" customWidth="1"/>
    <col min="10498" max="10498" width="3.42578125" style="238" customWidth="1"/>
    <col min="10499" max="10499" width="11" style="238" customWidth="1"/>
    <col min="10500" max="10500" width="13.5703125" style="238" customWidth="1"/>
    <col min="10501" max="10501" width="15.5703125" style="238" customWidth="1"/>
    <col min="10502" max="10502" width="24.28515625" style="238" customWidth="1"/>
    <col min="10503" max="10503" width="2.42578125" style="238" customWidth="1"/>
    <col min="10504" max="10504" width="11.140625" style="238" customWidth="1"/>
    <col min="10505" max="10505" width="14.28515625" style="238" customWidth="1"/>
    <col min="10506" max="10511" width="21.28515625" style="238" customWidth="1"/>
    <col min="10512" max="10752" width="9.140625" style="238"/>
    <col min="10753" max="10753" width="5.42578125" style="238" customWidth="1"/>
    <col min="10754" max="10754" width="3.42578125" style="238" customWidth="1"/>
    <col min="10755" max="10755" width="11" style="238" customWidth="1"/>
    <col min="10756" max="10756" width="13.5703125" style="238" customWidth="1"/>
    <col min="10757" max="10757" width="15.5703125" style="238" customWidth="1"/>
    <col min="10758" max="10758" width="24.28515625" style="238" customWidth="1"/>
    <col min="10759" max="10759" width="2.42578125" style="238" customWidth="1"/>
    <col min="10760" max="10760" width="11.140625" style="238" customWidth="1"/>
    <col min="10761" max="10761" width="14.28515625" style="238" customWidth="1"/>
    <col min="10762" max="10767" width="21.28515625" style="238" customWidth="1"/>
    <col min="10768" max="11008" width="9.140625" style="238"/>
    <col min="11009" max="11009" width="5.42578125" style="238" customWidth="1"/>
    <col min="11010" max="11010" width="3.42578125" style="238" customWidth="1"/>
    <col min="11011" max="11011" width="11" style="238" customWidth="1"/>
    <col min="11012" max="11012" width="13.5703125" style="238" customWidth="1"/>
    <col min="11013" max="11013" width="15.5703125" style="238" customWidth="1"/>
    <col min="11014" max="11014" width="24.28515625" style="238" customWidth="1"/>
    <col min="11015" max="11015" width="2.42578125" style="238" customWidth="1"/>
    <col min="11016" max="11016" width="11.140625" style="238" customWidth="1"/>
    <col min="11017" max="11017" width="14.28515625" style="238" customWidth="1"/>
    <col min="11018" max="11023" width="21.28515625" style="238" customWidth="1"/>
    <col min="11024" max="11264" width="9.140625" style="238"/>
    <col min="11265" max="11265" width="5.42578125" style="238" customWidth="1"/>
    <col min="11266" max="11266" width="3.42578125" style="238" customWidth="1"/>
    <col min="11267" max="11267" width="11" style="238" customWidth="1"/>
    <col min="11268" max="11268" width="13.5703125" style="238" customWidth="1"/>
    <col min="11269" max="11269" width="15.5703125" style="238" customWidth="1"/>
    <col min="11270" max="11270" width="24.28515625" style="238" customWidth="1"/>
    <col min="11271" max="11271" width="2.42578125" style="238" customWidth="1"/>
    <col min="11272" max="11272" width="11.140625" style="238" customWidth="1"/>
    <col min="11273" max="11273" width="14.28515625" style="238" customWidth="1"/>
    <col min="11274" max="11279" width="21.28515625" style="238" customWidth="1"/>
    <col min="11280" max="11520" width="9.140625" style="238"/>
    <col min="11521" max="11521" width="5.42578125" style="238" customWidth="1"/>
    <col min="11522" max="11522" width="3.42578125" style="238" customWidth="1"/>
    <col min="11523" max="11523" width="11" style="238" customWidth="1"/>
    <col min="11524" max="11524" width="13.5703125" style="238" customWidth="1"/>
    <col min="11525" max="11525" width="15.5703125" style="238" customWidth="1"/>
    <col min="11526" max="11526" width="24.28515625" style="238" customWidth="1"/>
    <col min="11527" max="11527" width="2.42578125" style="238" customWidth="1"/>
    <col min="11528" max="11528" width="11.140625" style="238" customWidth="1"/>
    <col min="11529" max="11529" width="14.28515625" style="238" customWidth="1"/>
    <col min="11530" max="11535" width="21.28515625" style="238" customWidth="1"/>
    <col min="11536" max="11776" width="9.140625" style="238"/>
    <col min="11777" max="11777" width="5.42578125" style="238" customWidth="1"/>
    <col min="11778" max="11778" width="3.42578125" style="238" customWidth="1"/>
    <col min="11779" max="11779" width="11" style="238" customWidth="1"/>
    <col min="11780" max="11780" width="13.5703125" style="238" customWidth="1"/>
    <col min="11781" max="11781" width="15.5703125" style="238" customWidth="1"/>
    <col min="11782" max="11782" width="24.28515625" style="238" customWidth="1"/>
    <col min="11783" max="11783" width="2.42578125" style="238" customWidth="1"/>
    <col min="11784" max="11784" width="11.140625" style="238" customWidth="1"/>
    <col min="11785" max="11785" width="14.28515625" style="238" customWidth="1"/>
    <col min="11786" max="11791" width="21.28515625" style="238" customWidth="1"/>
    <col min="11792" max="12032" width="9.140625" style="238"/>
    <col min="12033" max="12033" width="5.42578125" style="238" customWidth="1"/>
    <col min="12034" max="12034" width="3.42578125" style="238" customWidth="1"/>
    <col min="12035" max="12035" width="11" style="238" customWidth="1"/>
    <col min="12036" max="12036" width="13.5703125" style="238" customWidth="1"/>
    <col min="12037" max="12037" width="15.5703125" style="238" customWidth="1"/>
    <col min="12038" max="12038" width="24.28515625" style="238" customWidth="1"/>
    <col min="12039" max="12039" width="2.42578125" style="238" customWidth="1"/>
    <col min="12040" max="12040" width="11.140625" style="238" customWidth="1"/>
    <col min="12041" max="12041" width="14.28515625" style="238" customWidth="1"/>
    <col min="12042" max="12047" width="21.28515625" style="238" customWidth="1"/>
    <col min="12048" max="12288" width="9.140625" style="238"/>
    <col min="12289" max="12289" width="5.42578125" style="238" customWidth="1"/>
    <col min="12290" max="12290" width="3.42578125" style="238" customWidth="1"/>
    <col min="12291" max="12291" width="11" style="238" customWidth="1"/>
    <col min="12292" max="12292" width="13.5703125" style="238" customWidth="1"/>
    <col min="12293" max="12293" width="15.5703125" style="238" customWidth="1"/>
    <col min="12294" max="12294" width="24.28515625" style="238" customWidth="1"/>
    <col min="12295" max="12295" width="2.42578125" style="238" customWidth="1"/>
    <col min="12296" max="12296" width="11.140625" style="238" customWidth="1"/>
    <col min="12297" max="12297" width="14.28515625" style="238" customWidth="1"/>
    <col min="12298" max="12303" width="21.28515625" style="238" customWidth="1"/>
    <col min="12304" max="12544" width="9.140625" style="238"/>
    <col min="12545" max="12545" width="5.42578125" style="238" customWidth="1"/>
    <col min="12546" max="12546" width="3.42578125" style="238" customWidth="1"/>
    <col min="12547" max="12547" width="11" style="238" customWidth="1"/>
    <col min="12548" max="12548" width="13.5703125" style="238" customWidth="1"/>
    <col min="12549" max="12549" width="15.5703125" style="238" customWidth="1"/>
    <col min="12550" max="12550" width="24.28515625" style="238" customWidth="1"/>
    <col min="12551" max="12551" width="2.42578125" style="238" customWidth="1"/>
    <col min="12552" max="12552" width="11.140625" style="238" customWidth="1"/>
    <col min="12553" max="12553" width="14.28515625" style="238" customWidth="1"/>
    <col min="12554" max="12559" width="21.28515625" style="238" customWidth="1"/>
    <col min="12560" max="12800" width="9.140625" style="238"/>
    <col min="12801" max="12801" width="5.42578125" style="238" customWidth="1"/>
    <col min="12802" max="12802" width="3.42578125" style="238" customWidth="1"/>
    <col min="12803" max="12803" width="11" style="238" customWidth="1"/>
    <col min="12804" max="12804" width="13.5703125" style="238" customWidth="1"/>
    <col min="12805" max="12805" width="15.5703125" style="238" customWidth="1"/>
    <col min="12806" max="12806" width="24.28515625" style="238" customWidth="1"/>
    <col min="12807" max="12807" width="2.42578125" style="238" customWidth="1"/>
    <col min="12808" max="12808" width="11.140625" style="238" customWidth="1"/>
    <col min="12809" max="12809" width="14.28515625" style="238" customWidth="1"/>
    <col min="12810" max="12815" width="21.28515625" style="238" customWidth="1"/>
    <col min="12816" max="13056" width="9.140625" style="238"/>
    <col min="13057" max="13057" width="5.42578125" style="238" customWidth="1"/>
    <col min="13058" max="13058" width="3.42578125" style="238" customWidth="1"/>
    <col min="13059" max="13059" width="11" style="238" customWidth="1"/>
    <col min="13060" max="13060" width="13.5703125" style="238" customWidth="1"/>
    <col min="13061" max="13061" width="15.5703125" style="238" customWidth="1"/>
    <col min="13062" max="13062" width="24.28515625" style="238" customWidth="1"/>
    <col min="13063" max="13063" width="2.42578125" style="238" customWidth="1"/>
    <col min="13064" max="13064" width="11.140625" style="238" customWidth="1"/>
    <col min="13065" max="13065" width="14.28515625" style="238" customWidth="1"/>
    <col min="13066" max="13071" width="21.28515625" style="238" customWidth="1"/>
    <col min="13072" max="13312" width="9.140625" style="238"/>
    <col min="13313" max="13313" width="5.42578125" style="238" customWidth="1"/>
    <col min="13314" max="13314" width="3.42578125" style="238" customWidth="1"/>
    <col min="13315" max="13315" width="11" style="238" customWidth="1"/>
    <col min="13316" max="13316" width="13.5703125" style="238" customWidth="1"/>
    <col min="13317" max="13317" width="15.5703125" style="238" customWidth="1"/>
    <col min="13318" max="13318" width="24.28515625" style="238" customWidth="1"/>
    <col min="13319" max="13319" width="2.42578125" style="238" customWidth="1"/>
    <col min="13320" max="13320" width="11.140625" style="238" customWidth="1"/>
    <col min="13321" max="13321" width="14.28515625" style="238" customWidth="1"/>
    <col min="13322" max="13327" width="21.28515625" style="238" customWidth="1"/>
    <col min="13328" max="13568" width="9.140625" style="238"/>
    <col min="13569" max="13569" width="5.42578125" style="238" customWidth="1"/>
    <col min="13570" max="13570" width="3.42578125" style="238" customWidth="1"/>
    <col min="13571" max="13571" width="11" style="238" customWidth="1"/>
    <col min="13572" max="13572" width="13.5703125" style="238" customWidth="1"/>
    <col min="13573" max="13573" width="15.5703125" style="238" customWidth="1"/>
    <col min="13574" max="13574" width="24.28515625" style="238" customWidth="1"/>
    <col min="13575" max="13575" width="2.42578125" style="238" customWidth="1"/>
    <col min="13576" max="13576" width="11.140625" style="238" customWidth="1"/>
    <col min="13577" max="13577" width="14.28515625" style="238" customWidth="1"/>
    <col min="13578" max="13583" width="21.28515625" style="238" customWidth="1"/>
    <col min="13584" max="13824" width="9.140625" style="238"/>
    <col min="13825" max="13825" width="5.42578125" style="238" customWidth="1"/>
    <col min="13826" max="13826" width="3.42578125" style="238" customWidth="1"/>
    <col min="13827" max="13827" width="11" style="238" customWidth="1"/>
    <col min="13828" max="13828" width="13.5703125" style="238" customWidth="1"/>
    <col min="13829" max="13829" width="15.5703125" style="238" customWidth="1"/>
    <col min="13830" max="13830" width="24.28515625" style="238" customWidth="1"/>
    <col min="13831" max="13831" width="2.42578125" style="238" customWidth="1"/>
    <col min="13832" max="13832" width="11.140625" style="238" customWidth="1"/>
    <col min="13833" max="13833" width="14.28515625" style="238" customWidth="1"/>
    <col min="13834" max="13839" width="21.28515625" style="238" customWidth="1"/>
    <col min="13840" max="14080" width="9.140625" style="238"/>
    <col min="14081" max="14081" width="5.42578125" style="238" customWidth="1"/>
    <col min="14082" max="14082" width="3.42578125" style="238" customWidth="1"/>
    <col min="14083" max="14083" width="11" style="238" customWidth="1"/>
    <col min="14084" max="14084" width="13.5703125" style="238" customWidth="1"/>
    <col min="14085" max="14085" width="15.5703125" style="238" customWidth="1"/>
    <col min="14086" max="14086" width="24.28515625" style="238" customWidth="1"/>
    <col min="14087" max="14087" width="2.42578125" style="238" customWidth="1"/>
    <col min="14088" max="14088" width="11.140625" style="238" customWidth="1"/>
    <col min="14089" max="14089" width="14.28515625" style="238" customWidth="1"/>
    <col min="14090" max="14095" width="21.28515625" style="238" customWidth="1"/>
    <col min="14096" max="14336" width="9.140625" style="238"/>
    <col min="14337" max="14337" width="5.42578125" style="238" customWidth="1"/>
    <col min="14338" max="14338" width="3.42578125" style="238" customWidth="1"/>
    <col min="14339" max="14339" width="11" style="238" customWidth="1"/>
    <col min="14340" max="14340" width="13.5703125" style="238" customWidth="1"/>
    <col min="14341" max="14341" width="15.5703125" style="238" customWidth="1"/>
    <col min="14342" max="14342" width="24.28515625" style="238" customWidth="1"/>
    <col min="14343" max="14343" width="2.42578125" style="238" customWidth="1"/>
    <col min="14344" max="14344" width="11.140625" style="238" customWidth="1"/>
    <col min="14345" max="14345" width="14.28515625" style="238" customWidth="1"/>
    <col min="14346" max="14351" width="21.28515625" style="238" customWidth="1"/>
    <col min="14352" max="14592" width="9.140625" style="238"/>
    <col min="14593" max="14593" width="5.42578125" style="238" customWidth="1"/>
    <col min="14594" max="14594" width="3.42578125" style="238" customWidth="1"/>
    <col min="14595" max="14595" width="11" style="238" customWidth="1"/>
    <col min="14596" max="14596" width="13.5703125" style="238" customWidth="1"/>
    <col min="14597" max="14597" width="15.5703125" style="238" customWidth="1"/>
    <col min="14598" max="14598" width="24.28515625" style="238" customWidth="1"/>
    <col min="14599" max="14599" width="2.42578125" style="238" customWidth="1"/>
    <col min="14600" max="14600" width="11.140625" style="238" customWidth="1"/>
    <col min="14601" max="14601" width="14.28515625" style="238" customWidth="1"/>
    <col min="14602" max="14607" width="21.28515625" style="238" customWidth="1"/>
    <col min="14608" max="14848" width="9.140625" style="238"/>
    <col min="14849" max="14849" width="5.42578125" style="238" customWidth="1"/>
    <col min="14850" max="14850" width="3.42578125" style="238" customWidth="1"/>
    <col min="14851" max="14851" width="11" style="238" customWidth="1"/>
    <col min="14852" max="14852" width="13.5703125" style="238" customWidth="1"/>
    <col min="14853" max="14853" width="15.5703125" style="238" customWidth="1"/>
    <col min="14854" max="14854" width="24.28515625" style="238" customWidth="1"/>
    <col min="14855" max="14855" width="2.42578125" style="238" customWidth="1"/>
    <col min="14856" max="14856" width="11.140625" style="238" customWidth="1"/>
    <col min="14857" max="14857" width="14.28515625" style="238" customWidth="1"/>
    <col min="14858" max="14863" width="21.28515625" style="238" customWidth="1"/>
    <col min="14864" max="15104" width="9.140625" style="238"/>
    <col min="15105" max="15105" width="5.42578125" style="238" customWidth="1"/>
    <col min="15106" max="15106" width="3.42578125" style="238" customWidth="1"/>
    <col min="15107" max="15107" width="11" style="238" customWidth="1"/>
    <col min="15108" max="15108" width="13.5703125" style="238" customWidth="1"/>
    <col min="15109" max="15109" width="15.5703125" style="238" customWidth="1"/>
    <col min="15110" max="15110" width="24.28515625" style="238" customWidth="1"/>
    <col min="15111" max="15111" width="2.42578125" style="238" customWidth="1"/>
    <col min="15112" max="15112" width="11.140625" style="238" customWidth="1"/>
    <col min="15113" max="15113" width="14.28515625" style="238" customWidth="1"/>
    <col min="15114" max="15119" width="21.28515625" style="238" customWidth="1"/>
    <col min="15120" max="15360" width="9.140625" style="238"/>
    <col min="15361" max="15361" width="5.42578125" style="238" customWidth="1"/>
    <col min="15362" max="15362" width="3.42578125" style="238" customWidth="1"/>
    <col min="15363" max="15363" width="11" style="238" customWidth="1"/>
    <col min="15364" max="15364" width="13.5703125" style="238" customWidth="1"/>
    <col min="15365" max="15365" width="15.5703125" style="238" customWidth="1"/>
    <col min="15366" max="15366" width="24.28515625" style="238" customWidth="1"/>
    <col min="15367" max="15367" width="2.42578125" style="238" customWidth="1"/>
    <col min="15368" max="15368" width="11.140625" style="238" customWidth="1"/>
    <col min="15369" max="15369" width="14.28515625" style="238" customWidth="1"/>
    <col min="15370" max="15375" width="21.28515625" style="238" customWidth="1"/>
    <col min="15376" max="15616" width="9.140625" style="238"/>
    <col min="15617" max="15617" width="5.42578125" style="238" customWidth="1"/>
    <col min="15618" max="15618" width="3.42578125" style="238" customWidth="1"/>
    <col min="15619" max="15619" width="11" style="238" customWidth="1"/>
    <col min="15620" max="15620" width="13.5703125" style="238" customWidth="1"/>
    <col min="15621" max="15621" width="15.5703125" style="238" customWidth="1"/>
    <col min="15622" max="15622" width="24.28515625" style="238" customWidth="1"/>
    <col min="15623" max="15623" width="2.42578125" style="238" customWidth="1"/>
    <col min="15624" max="15624" width="11.140625" style="238" customWidth="1"/>
    <col min="15625" max="15625" width="14.28515625" style="238" customWidth="1"/>
    <col min="15626" max="15631" width="21.28515625" style="238" customWidth="1"/>
    <col min="15632" max="15872" width="9.140625" style="238"/>
    <col min="15873" max="15873" width="5.42578125" style="238" customWidth="1"/>
    <col min="15874" max="15874" width="3.42578125" style="238" customWidth="1"/>
    <col min="15875" max="15875" width="11" style="238" customWidth="1"/>
    <col min="15876" max="15876" width="13.5703125" style="238" customWidth="1"/>
    <col min="15877" max="15877" width="15.5703125" style="238" customWidth="1"/>
    <col min="15878" max="15878" width="24.28515625" style="238" customWidth="1"/>
    <col min="15879" max="15879" width="2.42578125" style="238" customWidth="1"/>
    <col min="15880" max="15880" width="11.140625" style="238" customWidth="1"/>
    <col min="15881" max="15881" width="14.28515625" style="238" customWidth="1"/>
    <col min="15882" max="15887" width="21.28515625" style="238" customWidth="1"/>
    <col min="15888" max="16128" width="9.140625" style="238"/>
    <col min="16129" max="16129" width="5.42578125" style="238" customWidth="1"/>
    <col min="16130" max="16130" width="3.42578125" style="238" customWidth="1"/>
    <col min="16131" max="16131" width="11" style="238" customWidth="1"/>
    <col min="16132" max="16132" width="13.5703125" style="238" customWidth="1"/>
    <col min="16133" max="16133" width="15.5703125" style="238" customWidth="1"/>
    <col min="16134" max="16134" width="24.28515625" style="238" customWidth="1"/>
    <col min="16135" max="16135" width="2.42578125" style="238" customWidth="1"/>
    <col min="16136" max="16136" width="11.140625" style="238" customWidth="1"/>
    <col min="16137" max="16137" width="14.28515625" style="238" customWidth="1"/>
    <col min="16138" max="16143" width="21.28515625" style="238" customWidth="1"/>
    <col min="16144" max="16384" width="9.140625" style="238"/>
  </cols>
  <sheetData>
    <row r="3" spans="1:15" s="232" customFormat="1">
      <c r="B3" s="233" t="s">
        <v>399</v>
      </c>
      <c r="C3" s="234" t="s">
        <v>400</v>
      </c>
      <c r="D3" s="235" t="s">
        <v>401</v>
      </c>
      <c r="E3" s="235" t="s">
        <v>362</v>
      </c>
      <c r="F3" s="235" t="s">
        <v>402</v>
      </c>
      <c r="G3" s="235"/>
      <c r="H3" s="235" t="s">
        <v>403</v>
      </c>
      <c r="I3" s="235" t="s">
        <v>404</v>
      </c>
      <c r="J3" s="235" t="s">
        <v>405</v>
      </c>
      <c r="K3" s="235" t="s">
        <v>406</v>
      </c>
      <c r="L3" s="235" t="s">
        <v>407</v>
      </c>
      <c r="M3" s="235" t="s">
        <v>408</v>
      </c>
      <c r="N3" s="235" t="s">
        <v>409</v>
      </c>
      <c r="O3" s="235" t="s">
        <v>410</v>
      </c>
    </row>
    <row r="4" spans="1:15">
      <c r="A4" s="236">
        <f>ai!$D4</f>
        <v>0</v>
      </c>
      <c r="C4" s="237" t="str">
        <f>"AI["&amp;A4&amp;"].En := "&amp;IF(ai!E4="",0,1)&amp;";"</f>
        <v>AI[0].En := 1;</v>
      </c>
      <c r="D4" s="237" t="str">
        <f>"AI["&amp;A4&amp;"].Group := "&amp;IF(ai!T4="",0,ai!T4)&amp;";"</f>
        <v>AI[0].Group := 1;</v>
      </c>
      <c r="E4" s="237" t="str">
        <f>"AI["&amp;A4&amp;"].isInvScale := "&amp;IF(ai!U4="",0,1)&amp;";"</f>
        <v>AI[0].isInvScale := 0;</v>
      </c>
      <c r="F4" s="237" t="str">
        <f>"AI["&amp;A4&amp;"].isCut := "&amp;IF(ai!V4="",0,1)&amp;"; "&amp;"AI["&amp;A4&amp;"].vCut := "&amp;IF(ai!V4="",0,ai!V4)&amp;"; "</f>
        <v xml:space="preserve">AI[0].isCut := 1; AI[0].vCut := 1; </v>
      </c>
      <c r="G4" s="237"/>
      <c r="H4" s="237" t="str">
        <f>"AI["&amp;A4&amp;"].ZL := "&amp;IF(ai!G4="",0,ai!G4)&amp;";"</f>
        <v>AI[0].ZL := 0;</v>
      </c>
      <c r="I4" s="237" t="str">
        <f>"AI["&amp;A4&amp;"].ZH := "&amp;IF(ai!H4="",0,ai!H4)&amp;";"</f>
        <v>AI[0].ZH := 100;</v>
      </c>
      <c r="J4" s="237" t="str">
        <f>"AI["&amp;$A4&amp;"]." &amp;J$3&amp;".EN :=" &amp;IF(ai!J4="",0,1)&amp;"; " &amp; "AI["&amp;$A4&amp;"]." &amp;J$3&amp;".V :=" &amp;IF(ai!J4="",0,ai!J4)&amp;"; "</f>
        <v xml:space="preserve">AI[0].RL.EN :=1; AI[0].RL.V :=30; </v>
      </c>
      <c r="K4" s="237" t="str">
        <f>"AI["&amp;$A4&amp;"]." &amp;K$3&amp;".EN :=" &amp;IF(ai!K4="",0,1)&amp;"; " &amp; "AI["&amp;$A4&amp;"]." &amp;K$3&amp;".V :=" &amp;IF(ai!K4="",0,ai!K4)&amp;"; "</f>
        <v xml:space="preserve">AI[0].RH.EN :=1; AI[0].RH.V :=50; </v>
      </c>
      <c r="L4" s="237" t="str">
        <f>"AI["&amp;$A4&amp;"]." &amp;L$3&amp;".EN :=" &amp;IF(ai!L4="",0,1)&amp;"; " &amp; "AI["&amp;$A4&amp;"]." &amp;L$3&amp;".V :=" &amp;IF(ai!L4="",0,ai!L4)&amp;"; "</f>
        <v xml:space="preserve">AI[0].L.EN :=1; AI[0].L.V :=0; </v>
      </c>
      <c r="M4" s="237" t="str">
        <f>"AI["&amp;$A4&amp;"]." &amp;M$3&amp;".EN :=" &amp;IF(ai!M4="",0,1)&amp;"; " &amp; "AI["&amp;$A4&amp;"]." &amp;M$3&amp;".V :=" &amp;IF(ai!M4="",0,ai!M4)&amp;"; "</f>
        <v xml:space="preserve">AI[0].H.EN :=1; AI[0].H.V :=0; </v>
      </c>
      <c r="N4" s="237" t="str">
        <f>"AI["&amp;$A4&amp;"]." &amp;N$3&amp;".EN :=" &amp;IF(ai!N4="",0,1)&amp;"; " &amp; "AI["&amp;$A4&amp;"]." &amp;N$3&amp;".V :=" &amp;IF(ai!N4="",0,ai!N4)&amp;"; "</f>
        <v xml:space="preserve">AI[0].LL.EN :=1; AI[0].LL.V :=0; </v>
      </c>
      <c r="O4" s="237" t="str">
        <f>"AI["&amp;$A4&amp;"]." &amp;O$3&amp;".EN :=" &amp;IF(ai!O4="",0,1)&amp;"; " &amp; "AI["&amp;$A4&amp;"]." &amp;O$3&amp;".V :=" &amp;IF(ai!O4="",0,ai!O4)&amp;"; "</f>
        <v xml:space="preserve">AI[0].HH.EN :=1; AI[0].HH.V :=0; </v>
      </c>
    </row>
    <row r="5" spans="1:15">
      <c r="A5" s="236">
        <f>ai!$D5</f>
        <v>1</v>
      </c>
      <c r="C5" s="237" t="str">
        <f>"AI["&amp;A5&amp;"].En := "&amp;IF(ai!E5="",0,1)&amp;";"</f>
        <v>AI[1].En := 1;</v>
      </c>
      <c r="D5" s="237" t="str">
        <f>"AI["&amp;A5&amp;"].Group := "&amp;IF(ai!T5="",0,ai!T5)&amp;";"</f>
        <v>AI[1].Group := 1;</v>
      </c>
      <c r="E5" s="237" t="str">
        <f>"AI["&amp;A5&amp;"].isInvScale := "&amp;IF(ai!U5="",0,1)&amp;";"</f>
        <v>AI[1].isInvScale := 0;</v>
      </c>
      <c r="F5" s="237" t="str">
        <f>"AI["&amp;A5&amp;"].isCut := "&amp;IF(ai!V5="",0,1)&amp;"; "&amp;"AI["&amp;A5&amp;"].vCut := "&amp;IF(ai!V5="",0,ai!V5)&amp;"; "</f>
        <v xml:space="preserve">AI[1].isCut := 1; AI[1].vCut := 0.6; </v>
      </c>
      <c r="G5" s="237"/>
      <c r="H5" s="237" t="str">
        <f>"AI["&amp;A5&amp;"].ZL := "&amp;IF(ai!G5="",0,ai!G5)&amp;";"</f>
        <v>AI[1].ZL := 0;</v>
      </c>
      <c r="I5" s="237" t="str">
        <f>"AI["&amp;A5&amp;"].ZH := "&amp;IF(ai!H5="",0,ai!H5)&amp;";"</f>
        <v>AI[1].ZH := 60;</v>
      </c>
      <c r="J5" s="237" t="str">
        <f>"AI["&amp;$A5&amp;"]." &amp;J$3&amp;".EN :=" &amp;IF(ai!J5="",0,1)&amp;"; " &amp; "AI["&amp;$A5&amp;"]." &amp;J$3&amp;".V :=" &amp;IF(ai!J5="",0,ai!J5)&amp;"; "</f>
        <v xml:space="preserve">AI[1].RL.EN :=1; AI[1].RL.V :=18; </v>
      </c>
      <c r="K5" s="237" t="str">
        <f>"AI["&amp;$A5&amp;"]." &amp;K$3&amp;".EN :=" &amp;IF(ai!K5="",0,1)&amp;"; " &amp; "AI["&amp;$A5&amp;"]." &amp;K$3&amp;".V :=" &amp;IF(ai!K5="",0,ai!K5)&amp;"; "</f>
        <v xml:space="preserve">AI[1].RH.EN :=1; AI[1].RH.V :=25; </v>
      </c>
      <c r="L5" s="237" t="str">
        <f>"AI["&amp;$A5&amp;"]." &amp;L$3&amp;".EN :=" &amp;IF(ai!L5="",0,1)&amp;"; " &amp; "AI["&amp;$A5&amp;"]." &amp;L$3&amp;".V :=" &amp;IF(ai!L5="",0,ai!L5)&amp;"; "</f>
        <v xml:space="preserve">AI[1].L.EN :=1; AI[1].L.V :=0; </v>
      </c>
      <c r="M5" s="237" t="str">
        <f>"AI["&amp;$A5&amp;"]." &amp;M$3&amp;".EN :=" &amp;IF(ai!M5="",0,1)&amp;"; " &amp; "AI["&amp;$A5&amp;"]." &amp;M$3&amp;".V :=" &amp;IF(ai!M5="",0,ai!M5)&amp;"; "</f>
        <v xml:space="preserve">AI[1].H.EN :=1; AI[1].H.V :=0; </v>
      </c>
      <c r="N5" s="237" t="str">
        <f>"AI["&amp;$A5&amp;"]." &amp;N$3&amp;".EN :=" &amp;IF(ai!N5="",0,1)&amp;"; " &amp; "AI["&amp;$A5&amp;"]." &amp;N$3&amp;".V :=" &amp;IF(ai!N5="",0,ai!N5)&amp;"; "</f>
        <v xml:space="preserve">AI[1].LL.EN :=1; AI[1].LL.V :=0; </v>
      </c>
      <c r="O5" s="237" t="str">
        <f>"AI["&amp;$A5&amp;"]." &amp;O$3&amp;".EN :=" &amp;IF(ai!O5="",0,1)&amp;"; " &amp; "AI["&amp;$A5&amp;"]." &amp;O$3&amp;".V :=" &amp;IF(ai!O5="",0,ai!O5)&amp;"; "</f>
        <v xml:space="preserve">AI[1].HH.EN :=1; AI[1].HH.V :=0; </v>
      </c>
    </row>
    <row r="6" spans="1:15">
      <c r="A6" s="236">
        <f>ai!$D6</f>
        <v>2</v>
      </c>
      <c r="C6" s="237" t="str">
        <f>"AI["&amp;A6&amp;"].En := "&amp;IF(ai!E6="",0,1)&amp;";"</f>
        <v>AI[2].En := 1;</v>
      </c>
      <c r="D6" s="237" t="str">
        <f>"AI["&amp;A6&amp;"].Group := "&amp;IF(ai!T6="",0,ai!T6)&amp;";"</f>
        <v>AI[2].Group := 1;</v>
      </c>
      <c r="E6" s="237" t="str">
        <f>"AI["&amp;A6&amp;"].isInvScale := "&amp;IF(ai!U6="",0,1)&amp;";"</f>
        <v>AI[2].isInvScale := 0;</v>
      </c>
      <c r="F6" s="237" t="str">
        <f>"AI["&amp;A6&amp;"].isCut := "&amp;IF(ai!V6="",0,1)&amp;"; "&amp;"AI["&amp;A6&amp;"].vCut := "&amp;IF(ai!V6="",0,ai!V6)&amp;"; "</f>
        <v xml:space="preserve">AI[2].isCut := 1; AI[2].vCut := 4; </v>
      </c>
      <c r="G6" s="237"/>
      <c r="H6" s="237" t="str">
        <f>"AI["&amp;A6&amp;"].ZL := "&amp;IF(ai!G6="",0,ai!G6)&amp;";"</f>
        <v>AI[2].ZL := 0;</v>
      </c>
      <c r="I6" s="237" t="str">
        <f>"AI["&amp;A6&amp;"].ZH := "&amp;IF(ai!H6="",0,ai!H6)&amp;";"</f>
        <v>AI[2].ZH := 400;</v>
      </c>
      <c r="J6" s="237" t="str">
        <f>"AI["&amp;$A6&amp;"]." &amp;J$3&amp;".EN :=" &amp;IF(ai!J6="",0,1)&amp;"; " &amp; "AI["&amp;$A6&amp;"]." &amp;J$3&amp;".V :=" &amp;IF(ai!J6="",0,ai!J6)&amp;"; "</f>
        <v xml:space="preserve">AI[2].RL.EN :=1; AI[2].RL.V :=30; </v>
      </c>
      <c r="K6" s="237" t="str">
        <f>"AI["&amp;$A6&amp;"]." &amp;K$3&amp;".EN :=" &amp;IF(ai!K6="",0,1)&amp;"; " &amp; "AI["&amp;$A6&amp;"]." &amp;K$3&amp;".V :=" &amp;IF(ai!K6="",0,ai!K6)&amp;"; "</f>
        <v xml:space="preserve">AI[2].RH.EN :=1; AI[2].RH.V :=100; </v>
      </c>
      <c r="L6" s="237" t="str">
        <f>"AI["&amp;$A6&amp;"]." &amp;L$3&amp;".EN :=" &amp;IF(ai!L6="",0,1)&amp;"; " &amp; "AI["&amp;$A6&amp;"]." &amp;L$3&amp;".V :=" &amp;IF(ai!L6="",0,ai!L6)&amp;"; "</f>
        <v xml:space="preserve">AI[2].L.EN :=1; AI[2].L.V :=0; </v>
      </c>
      <c r="M6" s="237" t="str">
        <f>"AI["&amp;$A6&amp;"]." &amp;M$3&amp;".EN :=" &amp;IF(ai!M6="",0,1)&amp;"; " &amp; "AI["&amp;$A6&amp;"]." &amp;M$3&amp;".V :=" &amp;IF(ai!M6="",0,ai!M6)&amp;"; "</f>
        <v xml:space="preserve">AI[2].H.EN :=1; AI[2].H.V :=0; </v>
      </c>
      <c r="N6" s="237" t="str">
        <f>"AI["&amp;$A6&amp;"]." &amp;N$3&amp;".EN :=" &amp;IF(ai!N6="",0,1)&amp;"; " &amp; "AI["&amp;$A6&amp;"]." &amp;N$3&amp;".V :=" &amp;IF(ai!N6="",0,ai!N6)&amp;"; "</f>
        <v xml:space="preserve">AI[2].LL.EN :=1; AI[2].LL.V :=0; </v>
      </c>
      <c r="O6" s="237" t="str">
        <f>"AI["&amp;$A6&amp;"]." &amp;O$3&amp;".EN :=" &amp;IF(ai!O6="",0,1)&amp;"; " &amp; "AI["&amp;$A6&amp;"]." &amp;O$3&amp;".V :=" &amp;IF(ai!O6="",0,ai!O6)&amp;"; "</f>
        <v xml:space="preserve">AI[2].HH.EN :=1; AI[2].HH.V :=0; </v>
      </c>
    </row>
    <row r="7" spans="1:15">
      <c r="A7" s="236">
        <f>ai!$D7</f>
        <v>3</v>
      </c>
      <c r="C7" s="237" t="str">
        <f>"AI["&amp;A7&amp;"].En := "&amp;IF(ai!E7="",0,1)&amp;";"</f>
        <v>AI[3].En := 1;</v>
      </c>
      <c r="D7" s="237" t="str">
        <f>"AI["&amp;A7&amp;"].Group := "&amp;IF(ai!T7="",0,ai!T7)&amp;";"</f>
        <v>AI[3].Group := 1;</v>
      </c>
      <c r="E7" s="237" t="str">
        <f>"AI["&amp;A7&amp;"].isInvScale := "&amp;IF(ai!U7="",0,1)&amp;";"</f>
        <v>AI[3].isInvScale := 0;</v>
      </c>
      <c r="F7" s="237" t="str">
        <f>"AI["&amp;A7&amp;"].isCut := "&amp;IF(ai!V7="",0,1)&amp;"; "&amp;"AI["&amp;A7&amp;"].vCut := "&amp;IF(ai!V7="",0,ai!V7)&amp;"; "</f>
        <v xml:space="preserve">AI[3].isCut := 1; AI[3].vCut := 1; </v>
      </c>
      <c r="G7" s="237"/>
      <c r="H7" s="237" t="str">
        <f>"AI["&amp;A7&amp;"].ZL := "&amp;IF(ai!G7="",0,ai!G7)&amp;";"</f>
        <v>AI[3].ZL := 0;</v>
      </c>
      <c r="I7" s="237" t="str">
        <f>"AI["&amp;A7&amp;"].ZH := "&amp;IF(ai!H7="",0,ai!H7)&amp;";"</f>
        <v>AI[3].ZH := 100;</v>
      </c>
      <c r="J7" s="237" t="str">
        <f>"AI["&amp;$A7&amp;"]." &amp;J$3&amp;".EN :=" &amp;IF(ai!J7="",0,1)&amp;"; " &amp; "AI["&amp;$A7&amp;"]." &amp;J$3&amp;".V :=" &amp;IF(ai!J7="",0,ai!J7)&amp;"; "</f>
        <v xml:space="preserve">AI[3].RL.EN :=1; AI[3].RL.V :=15; </v>
      </c>
      <c r="K7" s="237" t="str">
        <f>"AI["&amp;$A7&amp;"]." &amp;K$3&amp;".EN :=" &amp;IF(ai!K7="",0,1)&amp;"; " &amp; "AI["&amp;$A7&amp;"]." &amp;K$3&amp;".V :=" &amp;IF(ai!K7="",0,ai!K7)&amp;"; "</f>
        <v xml:space="preserve">AI[3].RH.EN :=1; AI[3].RH.V :=40; </v>
      </c>
      <c r="L7" s="237" t="str">
        <f>"AI["&amp;$A7&amp;"]." &amp;L$3&amp;".EN :=" &amp;IF(ai!L7="",0,1)&amp;"; " &amp; "AI["&amp;$A7&amp;"]." &amp;L$3&amp;".V :=" &amp;IF(ai!L7="",0,ai!L7)&amp;"; "</f>
        <v xml:space="preserve">AI[3].L.EN :=1; AI[3].L.V :=10; </v>
      </c>
      <c r="M7" s="237" t="str">
        <f>"AI["&amp;$A7&amp;"]." &amp;M$3&amp;".EN :=" &amp;IF(ai!M7="",0,1)&amp;"; " &amp; "AI["&amp;$A7&amp;"]." &amp;M$3&amp;".V :=" &amp;IF(ai!M7="",0,ai!M7)&amp;"; "</f>
        <v xml:space="preserve">AI[3].H.EN :=1; AI[3].H.V :=55; </v>
      </c>
      <c r="N7" s="237" t="str">
        <f>"AI["&amp;$A7&amp;"]." &amp;N$3&amp;".EN :=" &amp;IF(ai!N7="",0,1)&amp;"; " &amp; "AI["&amp;$A7&amp;"]." &amp;N$3&amp;".V :=" &amp;IF(ai!N7="",0,ai!N7)&amp;"; "</f>
        <v xml:space="preserve">AI[3].LL.EN :=1; AI[3].LL.V :=0; </v>
      </c>
      <c r="O7" s="237" t="str">
        <f>"AI["&amp;$A7&amp;"]." &amp;O$3&amp;".EN :=" &amp;IF(ai!O7="",0,1)&amp;"; " &amp; "AI["&amp;$A7&amp;"]." &amp;O$3&amp;".V :=" &amp;IF(ai!O7="",0,ai!O7)&amp;"; "</f>
        <v xml:space="preserve">AI[3].HH.EN :=1; AI[3].HH.V :=0; </v>
      </c>
    </row>
    <row r="8" spans="1:15">
      <c r="A8" s="236">
        <f>ai!$D8</f>
        <v>4</v>
      </c>
      <c r="C8" s="237" t="str">
        <f>"AI["&amp;A8&amp;"].En := "&amp;IF(ai!E8="",0,1)&amp;";"</f>
        <v>AI[4].En := 1;</v>
      </c>
      <c r="D8" s="237" t="str">
        <f>"AI["&amp;A8&amp;"].Group := "&amp;IF(ai!T8="",0,ai!T8)&amp;";"</f>
        <v>AI[4].Group := 1;</v>
      </c>
      <c r="E8" s="237" t="str">
        <f>"AI["&amp;A8&amp;"].isInvScale := "&amp;IF(ai!U8="",0,1)&amp;";"</f>
        <v>AI[4].isInvScale := 0;</v>
      </c>
      <c r="F8" s="237" t="str">
        <f>"AI["&amp;A8&amp;"].isCut := "&amp;IF(ai!V8="",0,1)&amp;"; "&amp;"AI["&amp;A8&amp;"].vCut := "&amp;IF(ai!V8="",0,ai!V8)&amp;"; "</f>
        <v xml:space="preserve">AI[4].isCut := 1; AI[4].vCut := 1; </v>
      </c>
      <c r="G8" s="237"/>
      <c r="H8" s="237" t="str">
        <f>"AI["&amp;A8&amp;"].ZL := "&amp;IF(ai!G8="",0,ai!G8)&amp;";"</f>
        <v>AI[4].ZL := 0;</v>
      </c>
      <c r="I8" s="237" t="str">
        <f>"AI["&amp;A8&amp;"].ZH := "&amp;IF(ai!H8="",0,ai!H8)&amp;";"</f>
        <v>AI[4].ZH := 100;</v>
      </c>
      <c r="J8" s="237" t="str">
        <f>"AI["&amp;$A8&amp;"]." &amp;J$3&amp;".EN :=" &amp;IF(ai!J8="",0,1)&amp;"; " &amp; "AI["&amp;$A8&amp;"]." &amp;J$3&amp;".V :=" &amp;IF(ai!J8="",0,ai!J8)&amp;"; "</f>
        <v xml:space="preserve">AI[4].RL.EN :=1; AI[4].RL.V :=10; </v>
      </c>
      <c r="K8" s="237" t="str">
        <f>"AI["&amp;$A8&amp;"]." &amp;K$3&amp;".EN :=" &amp;IF(ai!K8="",0,1)&amp;"; " &amp; "AI["&amp;$A8&amp;"]." &amp;K$3&amp;".V :=" &amp;IF(ai!K8="",0,ai!K8)&amp;"; "</f>
        <v xml:space="preserve">AI[4].RH.EN :=1; AI[4].RH.V :=60; </v>
      </c>
      <c r="L8" s="237" t="str">
        <f>"AI["&amp;$A8&amp;"]." &amp;L$3&amp;".EN :=" &amp;IF(ai!L8="",0,1)&amp;"; " &amp; "AI["&amp;$A8&amp;"]." &amp;L$3&amp;".V :=" &amp;IF(ai!L8="",0,ai!L8)&amp;"; "</f>
        <v xml:space="preserve">AI[4].L.EN :=1; AI[4].L.V :=10; </v>
      </c>
      <c r="M8" s="237" t="str">
        <f>"AI["&amp;$A8&amp;"]." &amp;M$3&amp;".EN :=" &amp;IF(ai!M8="",0,1)&amp;"; " &amp; "AI["&amp;$A8&amp;"]." &amp;M$3&amp;".V :=" &amp;IF(ai!M8="",0,ai!M8)&amp;"; "</f>
        <v xml:space="preserve">AI[4].H.EN :=1; AI[4].H.V :=60; </v>
      </c>
      <c r="N8" s="237" t="str">
        <f>"AI["&amp;$A8&amp;"]." &amp;N$3&amp;".EN :=" &amp;IF(ai!N8="",0,1)&amp;"; " &amp; "AI["&amp;$A8&amp;"]." &amp;N$3&amp;".V :=" &amp;IF(ai!N8="",0,ai!N8)&amp;"; "</f>
        <v xml:space="preserve">AI[4].LL.EN :=1; AI[4].LL.V :=0; </v>
      </c>
      <c r="O8" s="237" t="str">
        <f>"AI["&amp;$A8&amp;"]." &amp;O$3&amp;".EN :=" &amp;IF(ai!O8="",0,1)&amp;"; " &amp; "AI["&amp;$A8&amp;"]." &amp;O$3&amp;".V :=" &amp;IF(ai!O8="",0,ai!O8)&amp;"; "</f>
        <v xml:space="preserve">AI[4].HH.EN :=1; AI[4].HH.V :=0; </v>
      </c>
    </row>
    <row r="9" spans="1:15">
      <c r="A9" s="236">
        <f>ai!$D9</f>
        <v>5</v>
      </c>
      <c r="C9" s="237" t="str">
        <f>"AI["&amp;A9&amp;"].En := "&amp;IF(ai!E9="",0,1)&amp;";"</f>
        <v>AI[5].En := 1;</v>
      </c>
      <c r="D9" s="237" t="str">
        <f>"AI["&amp;A9&amp;"].Group := "&amp;IF(ai!T9="",0,ai!T9)&amp;";"</f>
        <v>AI[5].Group := 1;</v>
      </c>
      <c r="E9" s="237" t="str">
        <f>"AI["&amp;A9&amp;"].isInvScale := "&amp;IF(ai!U9="",0,1)&amp;";"</f>
        <v>AI[5].isInvScale := 0;</v>
      </c>
      <c r="F9" s="237" t="str">
        <f>"AI["&amp;A9&amp;"].isCut := "&amp;IF(ai!V9="",0,1)&amp;"; "&amp;"AI["&amp;A9&amp;"].vCut := "&amp;IF(ai!V9="",0,ai!V9)&amp;"; "</f>
        <v xml:space="preserve">AI[5].isCut := 1; AI[5].vCut := 0.75; </v>
      </c>
      <c r="G9" s="237"/>
      <c r="H9" s="237" t="str">
        <f>"AI["&amp;A9&amp;"].ZL := "&amp;IF(ai!G9="",0,ai!G9)&amp;";"</f>
        <v>AI[5].ZL := 0;</v>
      </c>
      <c r="I9" s="237" t="str">
        <f>"AI["&amp;A9&amp;"].ZH := "&amp;IF(ai!H9="",0,ai!H9)&amp;";"</f>
        <v>AI[5].ZH := 75;</v>
      </c>
      <c r="J9" s="237" t="str">
        <f>"AI["&amp;$A9&amp;"]." &amp;J$3&amp;".EN :=" &amp;IF(ai!J9="",0,1)&amp;"; " &amp; "AI["&amp;$A9&amp;"]." &amp;J$3&amp;".V :=" &amp;IF(ai!J9="",0,ai!J9)&amp;"; "</f>
        <v xml:space="preserve">AI[5].RL.EN :=1; AI[5].RL.V :=27; </v>
      </c>
      <c r="K9" s="237" t="str">
        <f>"AI["&amp;$A9&amp;"]." &amp;K$3&amp;".EN :=" &amp;IF(ai!K9="",0,1)&amp;"; " &amp; "AI["&amp;$A9&amp;"]." &amp;K$3&amp;".V :=" &amp;IF(ai!K9="",0,ai!K9)&amp;"; "</f>
        <v xml:space="preserve">AI[5].RH.EN :=1; AI[5].RH.V :=60; </v>
      </c>
      <c r="L9" s="237" t="str">
        <f>"AI["&amp;$A9&amp;"]." &amp;L$3&amp;".EN :=" &amp;IF(ai!L9="",0,1)&amp;"; " &amp; "AI["&amp;$A9&amp;"]." &amp;L$3&amp;".V :=" &amp;IF(ai!L9="",0,ai!L9)&amp;"; "</f>
        <v xml:space="preserve">AI[5].L.EN :=1; AI[5].L.V :=0; </v>
      </c>
      <c r="M9" s="237" t="str">
        <f>"AI["&amp;$A9&amp;"]." &amp;M$3&amp;".EN :=" &amp;IF(ai!M9="",0,1)&amp;"; " &amp; "AI["&amp;$A9&amp;"]." &amp;M$3&amp;".V :=" &amp;IF(ai!M9="",0,ai!M9)&amp;"; "</f>
        <v xml:space="preserve">AI[5].H.EN :=1; AI[5].H.V :=0; </v>
      </c>
      <c r="N9" s="237" t="str">
        <f>"AI["&amp;$A9&amp;"]." &amp;N$3&amp;".EN :=" &amp;IF(ai!N9="",0,1)&amp;"; " &amp; "AI["&amp;$A9&amp;"]." &amp;N$3&amp;".V :=" &amp;IF(ai!N9="",0,ai!N9)&amp;"; "</f>
        <v xml:space="preserve">AI[5].LL.EN :=1; AI[5].LL.V :=0; </v>
      </c>
      <c r="O9" s="237" t="str">
        <f>"AI["&amp;$A9&amp;"]." &amp;O$3&amp;".EN :=" &amp;IF(ai!O9="",0,1)&amp;"; " &amp; "AI["&amp;$A9&amp;"]." &amp;O$3&amp;".V :=" &amp;IF(ai!O9="",0,ai!O9)&amp;"; "</f>
        <v xml:space="preserve">AI[5].HH.EN :=1; AI[5].HH.V :=0; </v>
      </c>
    </row>
    <row r="10" spans="1:15">
      <c r="A10" s="236">
        <f>ai!$D10</f>
        <v>6</v>
      </c>
      <c r="C10" s="237" t="str">
        <f>"AI["&amp;A10&amp;"].En := "&amp;IF(ai!E10="",0,1)&amp;";"</f>
        <v>AI[6].En := 1;</v>
      </c>
      <c r="D10" s="237" t="str">
        <f>"AI["&amp;A10&amp;"].Group := "&amp;IF(ai!T10="",0,ai!T10)&amp;";"</f>
        <v>AI[6].Group := 1;</v>
      </c>
      <c r="E10" s="237" t="str">
        <f>"AI["&amp;A10&amp;"].isInvScale := "&amp;IF(ai!U10="",0,1)&amp;";"</f>
        <v>AI[6].isInvScale := 0;</v>
      </c>
      <c r="F10" s="237" t="str">
        <f>"AI["&amp;A10&amp;"].isCut := "&amp;IF(ai!V10="",0,1)&amp;"; "&amp;"AI["&amp;A10&amp;"].vCut := "&amp;IF(ai!V10="",0,ai!V10)&amp;"; "</f>
        <v xml:space="preserve">AI[6].isCut := 1; AI[6].vCut := 20; </v>
      </c>
      <c r="G10" s="237"/>
      <c r="H10" s="237" t="str">
        <f>"AI["&amp;A10&amp;"].ZL := "&amp;IF(ai!G10="",0,ai!G10)&amp;";"</f>
        <v>AI[6].ZL := 0;</v>
      </c>
      <c r="I10" s="237" t="str">
        <f>"AI["&amp;A10&amp;"].ZH := "&amp;IF(ai!H10="",0,ai!H10)&amp;";"</f>
        <v>AI[6].ZH := 2000;</v>
      </c>
      <c r="J10" s="237" t="str">
        <f>"AI["&amp;$A10&amp;"]." &amp;J$3&amp;".EN :=" &amp;IF(ai!J10="",0,1)&amp;"; " &amp; "AI["&amp;$A10&amp;"]." &amp;J$3&amp;".V :=" &amp;IF(ai!J10="",0,ai!J10)&amp;"; "</f>
        <v xml:space="preserve">AI[6].RL.EN :=1; AI[6].RL.V :=0; </v>
      </c>
      <c r="K10" s="237" t="str">
        <f>"AI["&amp;$A10&amp;"]." &amp;K$3&amp;".EN :=" &amp;IF(ai!K10="",0,1)&amp;"; " &amp; "AI["&amp;$A10&amp;"]." &amp;K$3&amp;".V :=" &amp;IF(ai!K10="",0,ai!K10)&amp;"; "</f>
        <v xml:space="preserve">AI[6].RH.EN :=1; AI[6].RH.V :=1630; </v>
      </c>
      <c r="L10" s="237" t="str">
        <f>"AI["&amp;$A10&amp;"]." &amp;L$3&amp;".EN :=" &amp;IF(ai!L10="",0,1)&amp;"; " &amp; "AI["&amp;$A10&amp;"]." &amp;L$3&amp;".V :=" &amp;IF(ai!L10="",0,ai!L10)&amp;"; "</f>
        <v xml:space="preserve">AI[6].L.EN :=1; AI[6].L.V :=0; </v>
      </c>
      <c r="M10" s="237" t="str">
        <f>"AI["&amp;$A10&amp;"]." &amp;M$3&amp;".EN :=" &amp;IF(ai!M10="",0,1)&amp;"; " &amp; "AI["&amp;$A10&amp;"]." &amp;M$3&amp;".V :=" &amp;IF(ai!M10="",0,ai!M10)&amp;"; "</f>
        <v xml:space="preserve">AI[6].H.EN :=1; AI[6].H.V :=0; </v>
      </c>
      <c r="N10" s="237" t="str">
        <f>"AI["&amp;$A10&amp;"]." &amp;N$3&amp;".EN :=" &amp;IF(ai!N10="",0,1)&amp;"; " &amp; "AI["&amp;$A10&amp;"]." &amp;N$3&amp;".V :=" &amp;IF(ai!N10="",0,ai!N10)&amp;"; "</f>
        <v xml:space="preserve">AI[6].LL.EN :=1; AI[6].LL.V :=0; </v>
      </c>
      <c r="O10" s="237" t="str">
        <f>"AI["&amp;$A10&amp;"]." &amp;O$3&amp;".EN :=" &amp;IF(ai!O10="",0,1)&amp;"; " &amp; "AI["&amp;$A10&amp;"]." &amp;O$3&amp;".V :=" &amp;IF(ai!O10="",0,ai!O10)&amp;"; "</f>
        <v xml:space="preserve">AI[6].HH.EN :=1; AI[6].HH.V :=0; </v>
      </c>
    </row>
    <row r="11" spans="1:15">
      <c r="A11" s="236">
        <f>ai!$D11</f>
        <v>7</v>
      </c>
      <c r="C11" s="237" t="str">
        <f>"AI["&amp;A11&amp;"].En := "&amp;IF(ai!E11="",0,1)&amp;";"</f>
        <v>AI[7].En := 1;</v>
      </c>
      <c r="D11" s="237" t="str">
        <f>"AI["&amp;A11&amp;"].Group := "&amp;IF(ai!T11="",0,ai!T11)&amp;";"</f>
        <v>AI[7].Group := 1;</v>
      </c>
      <c r="E11" s="237" t="str">
        <f>"AI["&amp;A11&amp;"].isInvScale := "&amp;IF(ai!U11="",0,1)&amp;";"</f>
        <v>AI[7].isInvScale := 0;</v>
      </c>
      <c r="F11" s="237" t="str">
        <f>"AI["&amp;A11&amp;"].isCut := "&amp;IF(ai!V11="",0,1)&amp;"; "&amp;"AI["&amp;A11&amp;"].vCut := "&amp;IF(ai!V11="",0,ai!V11)&amp;"; "</f>
        <v xml:space="preserve">AI[7].isCut := 1; AI[7].vCut := 3; </v>
      </c>
      <c r="G11" s="237"/>
      <c r="H11" s="237" t="str">
        <f>"AI["&amp;A11&amp;"].ZL := "&amp;IF(ai!G11="",0,ai!G11)&amp;";"</f>
        <v>AI[7].ZL := 0;</v>
      </c>
      <c r="I11" s="237" t="str">
        <f>"AI["&amp;A11&amp;"].ZH := "&amp;IF(ai!H11="",0,ai!H11)&amp;";"</f>
        <v>AI[7].ZH := 300;</v>
      </c>
      <c r="J11" s="237" t="str">
        <f>"AI["&amp;$A11&amp;"]." &amp;J$3&amp;".EN :=" &amp;IF(ai!J11="",0,1)&amp;"; " &amp; "AI["&amp;$A11&amp;"]." &amp;J$3&amp;".V :=" &amp;IF(ai!J11="",0,ai!J11)&amp;"; "</f>
        <v xml:space="preserve">AI[7].RL.EN :=1; AI[7].RL.V :=0; </v>
      </c>
      <c r="K11" s="237" t="str">
        <f>"AI["&amp;$A11&amp;"]." &amp;K$3&amp;".EN :=" &amp;IF(ai!K11="",0,1)&amp;"; " &amp; "AI["&amp;$A11&amp;"]." &amp;K$3&amp;".V :=" &amp;IF(ai!K11="",0,ai!K11)&amp;"; "</f>
        <v xml:space="preserve">AI[7].RH.EN :=1; AI[7].RH.V :=240; </v>
      </c>
      <c r="L11" s="237" t="str">
        <f>"AI["&amp;$A11&amp;"]." &amp;L$3&amp;".EN :=" &amp;IF(ai!L11="",0,1)&amp;"; " &amp; "AI["&amp;$A11&amp;"]." &amp;L$3&amp;".V :=" &amp;IF(ai!L11="",0,ai!L11)&amp;"; "</f>
        <v xml:space="preserve">AI[7].L.EN :=1; AI[7].L.V :=0; </v>
      </c>
      <c r="M11" s="237" t="str">
        <f>"AI["&amp;$A11&amp;"]." &amp;M$3&amp;".EN :=" &amp;IF(ai!M11="",0,1)&amp;"; " &amp; "AI["&amp;$A11&amp;"]." &amp;M$3&amp;".V :=" &amp;IF(ai!M11="",0,ai!M11)&amp;"; "</f>
        <v xml:space="preserve">AI[7].H.EN :=1; AI[7].H.V :=170; </v>
      </c>
      <c r="N11" s="237" t="str">
        <f>"AI["&amp;$A11&amp;"]." &amp;N$3&amp;".EN :=" &amp;IF(ai!N11="",0,1)&amp;"; " &amp; "AI["&amp;$A11&amp;"]." &amp;N$3&amp;".V :=" &amp;IF(ai!N11="",0,ai!N11)&amp;"; "</f>
        <v xml:space="preserve">AI[7].LL.EN :=1; AI[7].LL.V :=0; </v>
      </c>
      <c r="O11" s="237" t="str">
        <f>"AI["&amp;$A11&amp;"]." &amp;O$3&amp;".EN :=" &amp;IF(ai!O11="",0,1)&amp;"; " &amp; "AI["&amp;$A11&amp;"]." &amp;O$3&amp;".V :=" &amp;IF(ai!O11="",0,ai!O11)&amp;"; "</f>
        <v xml:space="preserve">AI[7].HH.EN :=1; AI[7].HH.V :=240; </v>
      </c>
    </row>
    <row r="12" spans="1:15">
      <c r="A12" s="236">
        <f>ai!$D12</f>
        <v>8</v>
      </c>
      <c r="C12" s="237" t="str">
        <f>"AI["&amp;A12&amp;"].En := "&amp;IF(ai!E12="",0,1)&amp;";"</f>
        <v>AI[8].En := 1;</v>
      </c>
      <c r="D12" s="237" t="str">
        <f>"AI["&amp;A12&amp;"].Group := "&amp;IF(ai!T12="",0,ai!T12)&amp;";"</f>
        <v>AI[8].Group := 1;</v>
      </c>
      <c r="E12" s="237" t="str">
        <f>"AI["&amp;A12&amp;"].isInvScale := "&amp;IF(ai!U12="",0,1)&amp;";"</f>
        <v>AI[8].isInvScale := 0;</v>
      </c>
      <c r="F12" s="237" t="str">
        <f>"AI["&amp;A12&amp;"].isCut := "&amp;IF(ai!V12="",0,1)&amp;"; "&amp;"AI["&amp;A12&amp;"].vCut := "&amp;IF(ai!V12="",0,ai!V12)&amp;"; "</f>
        <v xml:space="preserve">AI[8].isCut := 1; AI[8].vCut := 3; </v>
      </c>
      <c r="G12" s="237"/>
      <c r="H12" s="237" t="str">
        <f>"AI["&amp;A12&amp;"].ZL := "&amp;IF(ai!G12="",0,ai!G12)&amp;";"</f>
        <v>AI[8].ZL := 0;</v>
      </c>
      <c r="I12" s="237" t="str">
        <f>"AI["&amp;A12&amp;"].ZH := "&amp;IF(ai!H12="",0,ai!H12)&amp;";"</f>
        <v>AI[8].ZH := 300;</v>
      </c>
      <c r="J12" s="237" t="str">
        <f>"AI["&amp;$A12&amp;"]." &amp;J$3&amp;".EN :=" &amp;IF(ai!J12="",0,1)&amp;"; " &amp; "AI["&amp;$A12&amp;"]." &amp;J$3&amp;".V :=" &amp;IF(ai!J12="",0,ai!J12)&amp;"; "</f>
        <v xml:space="preserve">AI[8].RL.EN :=1; AI[8].RL.V :=130; </v>
      </c>
      <c r="K12" s="237" t="str">
        <f>"AI["&amp;$A12&amp;"]." &amp;K$3&amp;".EN :=" &amp;IF(ai!K12="",0,1)&amp;"; " &amp; "AI["&amp;$A12&amp;"]." &amp;K$3&amp;".V :=" &amp;IF(ai!K12="",0,ai!K12)&amp;"; "</f>
        <v xml:space="preserve">AI[8].RH.EN :=1; AI[8].RH.V :=280; </v>
      </c>
      <c r="L12" s="237" t="str">
        <f>"AI["&amp;$A12&amp;"]." &amp;L$3&amp;".EN :=" &amp;IF(ai!L12="",0,1)&amp;"; " &amp; "AI["&amp;$A12&amp;"]." &amp;L$3&amp;".V :=" &amp;IF(ai!L12="",0,ai!L12)&amp;"; "</f>
        <v xml:space="preserve">AI[8].L.EN :=1; AI[8].L.V :=0; </v>
      </c>
      <c r="M12" s="237" t="str">
        <f>"AI["&amp;$A12&amp;"]." &amp;M$3&amp;".EN :=" &amp;IF(ai!M12="",0,1)&amp;"; " &amp; "AI["&amp;$A12&amp;"]." &amp;M$3&amp;".V :=" &amp;IF(ai!M12="",0,ai!M12)&amp;"; "</f>
        <v xml:space="preserve">AI[8].H.EN :=1; AI[8].H.V :=0; </v>
      </c>
      <c r="N12" s="237" t="str">
        <f>"AI["&amp;$A12&amp;"]." &amp;N$3&amp;".EN :=" &amp;IF(ai!N12="",0,1)&amp;"; " &amp; "AI["&amp;$A12&amp;"]." &amp;N$3&amp;".V :=" &amp;IF(ai!N12="",0,ai!N12)&amp;"; "</f>
        <v xml:space="preserve">AI[8].LL.EN :=1; AI[8].LL.V :=0; </v>
      </c>
      <c r="O12" s="237" t="str">
        <f>"AI["&amp;$A12&amp;"]." &amp;O$3&amp;".EN :=" &amp;IF(ai!O12="",0,1)&amp;"; " &amp; "AI["&amp;$A12&amp;"]." &amp;O$3&amp;".V :=" &amp;IF(ai!O12="",0,ai!O12)&amp;"; "</f>
        <v xml:space="preserve">AI[8].HH.EN :=1; AI[8].HH.V :=0; </v>
      </c>
    </row>
    <row r="13" spans="1:15">
      <c r="A13" s="236">
        <f>ai!$D13</f>
        <v>9</v>
      </c>
      <c r="C13" s="237" t="str">
        <f>"AI["&amp;A13&amp;"].En := "&amp;IF(ai!E13="",0,1)&amp;";"</f>
        <v>AI[9].En := 1;</v>
      </c>
      <c r="D13" s="237" t="str">
        <f>"AI["&amp;A13&amp;"].Group := "&amp;IF(ai!T13="",0,ai!T13)&amp;";"</f>
        <v>AI[9].Group := 1;</v>
      </c>
      <c r="E13" s="237" t="str">
        <f>"AI["&amp;A13&amp;"].isInvScale := "&amp;IF(ai!U13="",0,1)&amp;";"</f>
        <v>AI[9].isInvScale := 0;</v>
      </c>
      <c r="F13" s="237" t="str">
        <f>"AI["&amp;A13&amp;"].isCut := "&amp;IF(ai!V13="",0,1)&amp;"; "&amp;"AI["&amp;A13&amp;"].vCut := "&amp;IF(ai!V13="",0,ai!V13)&amp;"; "</f>
        <v xml:space="preserve">AI[9].isCut := 1; AI[9].vCut := 2; </v>
      </c>
      <c r="G13" s="237"/>
      <c r="H13" s="237" t="str">
        <f>"AI["&amp;A13&amp;"].ZL := "&amp;IF(ai!G13="",0,ai!G13)&amp;";"</f>
        <v>AI[9].ZL := 0;</v>
      </c>
      <c r="I13" s="237" t="str">
        <f>"AI["&amp;A13&amp;"].ZH := "&amp;IF(ai!H13="",0,ai!H13)&amp;";"</f>
        <v>AI[9].ZH := 200;</v>
      </c>
      <c r="J13" s="237" t="str">
        <f>"AI["&amp;$A13&amp;"]." &amp;J$3&amp;".EN :=" &amp;IF(ai!J13="",0,1)&amp;"; " &amp; "AI["&amp;$A13&amp;"]." &amp;J$3&amp;".V :=" &amp;IF(ai!J13="",0,ai!J13)&amp;"; "</f>
        <v xml:space="preserve">AI[9].RL.EN :=1; AI[9].RL.V :=115; </v>
      </c>
      <c r="K13" s="237" t="str">
        <f>"AI["&amp;$A13&amp;"]." &amp;K$3&amp;".EN :=" &amp;IF(ai!K13="",0,1)&amp;"; " &amp; "AI["&amp;$A13&amp;"]." &amp;K$3&amp;".V :=" &amp;IF(ai!K13="",0,ai!K13)&amp;"; "</f>
        <v xml:space="preserve">AI[9].RH.EN :=1; AI[9].RH.V :=155; </v>
      </c>
      <c r="L13" s="237" t="str">
        <f>"AI["&amp;$A13&amp;"]." &amp;L$3&amp;".EN :=" &amp;IF(ai!L13="",0,1)&amp;"; " &amp; "AI["&amp;$A13&amp;"]." &amp;L$3&amp;".V :=" &amp;IF(ai!L13="",0,ai!L13)&amp;"; "</f>
        <v xml:space="preserve">AI[9].L.EN :=1; AI[9].L.V :=0; </v>
      </c>
      <c r="M13" s="237" t="str">
        <f>"AI["&amp;$A13&amp;"]." &amp;M$3&amp;".EN :=" &amp;IF(ai!M13="",0,1)&amp;"; " &amp; "AI["&amp;$A13&amp;"]." &amp;M$3&amp;".V :=" &amp;IF(ai!M13="",0,ai!M13)&amp;"; "</f>
        <v xml:space="preserve">AI[9].H.EN :=1; AI[9].H.V :=156; </v>
      </c>
      <c r="N13" s="237" t="str">
        <f>"AI["&amp;$A13&amp;"]." &amp;N$3&amp;".EN :=" &amp;IF(ai!N13="",0,1)&amp;"; " &amp; "AI["&amp;$A13&amp;"]." &amp;N$3&amp;".V :=" &amp;IF(ai!N13="",0,ai!N13)&amp;"; "</f>
        <v xml:space="preserve">AI[9].LL.EN :=1; AI[9].LL.V :=0; </v>
      </c>
      <c r="O13" s="237" t="str">
        <f>"AI["&amp;$A13&amp;"]." &amp;O$3&amp;".EN :=" &amp;IF(ai!O13="",0,1)&amp;"; " &amp; "AI["&amp;$A13&amp;"]." &amp;O$3&amp;".V :=" &amp;IF(ai!O13="",0,ai!O13)&amp;"; "</f>
        <v xml:space="preserve">AI[9].HH.EN :=1; AI[9].HH.V :=0; </v>
      </c>
    </row>
    <row r="14" spans="1:15">
      <c r="A14" s="236">
        <f>ai!$D14</f>
        <v>10</v>
      </c>
      <c r="C14" s="237" t="str">
        <f>"AI["&amp;A14&amp;"].En := "&amp;IF(ai!E14="",0,1)&amp;";"</f>
        <v>AI[10].En := 1;</v>
      </c>
      <c r="D14" s="237" t="str">
        <f>"AI["&amp;A14&amp;"].Group := "&amp;IF(ai!T14="",0,ai!T14)&amp;";"</f>
        <v>AI[10].Group := 1;</v>
      </c>
      <c r="E14" s="237" t="str">
        <f>"AI["&amp;A14&amp;"].isInvScale := "&amp;IF(ai!U14="",0,1)&amp;";"</f>
        <v>AI[10].isInvScale := 0;</v>
      </c>
      <c r="F14" s="237" t="str">
        <f>"AI["&amp;A14&amp;"].isCut := "&amp;IF(ai!V14="",0,1)&amp;"; "&amp;"AI["&amp;A14&amp;"].vCut := "&amp;IF(ai!V14="",0,ai!V14)&amp;"; "</f>
        <v xml:space="preserve">AI[10].isCut := 1; AI[10].vCut := 3.5; </v>
      </c>
      <c r="G14" s="237"/>
      <c r="H14" s="237" t="str">
        <f>"AI["&amp;A14&amp;"].ZL := "&amp;IF(ai!G14="",0,ai!G14)&amp;";"</f>
        <v>AI[10].ZL := 0;</v>
      </c>
      <c r="I14" s="237" t="str">
        <f>"AI["&amp;A14&amp;"].ZH := "&amp;IF(ai!H14="",0,ai!H14)&amp;";"</f>
        <v>AI[10].ZH := 350;</v>
      </c>
      <c r="J14" s="237" t="str">
        <f>"AI["&amp;$A14&amp;"]." &amp;J$3&amp;".EN :=" &amp;IF(ai!J14="",0,1)&amp;"; " &amp; "AI["&amp;$A14&amp;"]." &amp;J$3&amp;".V :=" &amp;IF(ai!J14="",0,ai!J14)&amp;"; "</f>
        <v xml:space="preserve">AI[10].RL.EN :=1; AI[10].RL.V :=32; </v>
      </c>
      <c r="K14" s="237" t="str">
        <f>"AI["&amp;$A14&amp;"]." &amp;K$3&amp;".EN :=" &amp;IF(ai!K14="",0,1)&amp;"; " &amp; "AI["&amp;$A14&amp;"]." &amp;K$3&amp;".V :=" &amp;IF(ai!K14="",0,ai!K14)&amp;"; "</f>
        <v xml:space="preserve">AI[10].RH.EN :=1; AI[10].RH.V :=320; </v>
      </c>
      <c r="L14" s="237" t="str">
        <f>"AI["&amp;$A14&amp;"]." &amp;L$3&amp;".EN :=" &amp;IF(ai!L14="",0,1)&amp;"; " &amp; "AI["&amp;$A14&amp;"]." &amp;L$3&amp;".V :=" &amp;IF(ai!L14="",0,ai!L14)&amp;"; "</f>
        <v xml:space="preserve">AI[10].L.EN :=1; AI[10].L.V :=0; </v>
      </c>
      <c r="M14" s="237" t="str">
        <f>"AI["&amp;$A14&amp;"]." &amp;M$3&amp;".EN :=" &amp;IF(ai!M14="",0,1)&amp;"; " &amp; "AI["&amp;$A14&amp;"]." &amp;M$3&amp;".V :=" &amp;IF(ai!M14="",0,ai!M14)&amp;"; "</f>
        <v xml:space="preserve">AI[10].H.EN :=1; AI[10].H.V :=0; </v>
      </c>
      <c r="N14" s="237" t="str">
        <f>"AI["&amp;$A14&amp;"]." &amp;N$3&amp;".EN :=" &amp;IF(ai!N14="",0,1)&amp;"; " &amp; "AI["&amp;$A14&amp;"]." &amp;N$3&amp;".V :=" &amp;IF(ai!N14="",0,ai!N14)&amp;"; "</f>
        <v xml:space="preserve">AI[10].LL.EN :=1; AI[10].LL.V :=0; </v>
      </c>
      <c r="O14" s="237" t="str">
        <f>"AI["&amp;$A14&amp;"]." &amp;O$3&amp;".EN :=" &amp;IF(ai!O14="",0,1)&amp;"; " &amp; "AI["&amp;$A14&amp;"]." &amp;O$3&amp;".V :=" &amp;IF(ai!O14="",0,ai!O14)&amp;"; "</f>
        <v xml:space="preserve">AI[10].HH.EN :=1; AI[10].HH.V :=0; </v>
      </c>
    </row>
    <row r="15" spans="1:15">
      <c r="A15" s="236">
        <f>ai!$D15</f>
        <v>11</v>
      </c>
      <c r="C15" s="237" t="str">
        <f>"AI["&amp;A15&amp;"].En := "&amp;IF(ai!E15="",0,1)&amp;";"</f>
        <v>AI[11].En := 1;</v>
      </c>
      <c r="D15" s="237" t="str">
        <f>"AI["&amp;A15&amp;"].Group := "&amp;IF(ai!T15="",0,ai!T15)&amp;";"</f>
        <v>AI[11].Group := 1;</v>
      </c>
      <c r="E15" s="237" t="str">
        <f>"AI["&amp;A15&amp;"].isInvScale := "&amp;IF(ai!U15="",0,1)&amp;";"</f>
        <v>AI[11].isInvScale := 0;</v>
      </c>
      <c r="F15" s="237" t="str">
        <f>"AI["&amp;A15&amp;"].isCut := "&amp;IF(ai!V15="",0,1)&amp;"; "&amp;"AI["&amp;A15&amp;"].vCut := "&amp;IF(ai!V15="",0,ai!V15)&amp;"; "</f>
        <v xml:space="preserve">AI[11].isCut := 1; AI[11].vCut := 3.5; </v>
      </c>
      <c r="G15" s="237"/>
      <c r="H15" s="237" t="str">
        <f>"AI["&amp;A15&amp;"].ZL := "&amp;IF(ai!G15="",0,ai!G15)&amp;";"</f>
        <v>AI[11].ZL := 0;</v>
      </c>
      <c r="I15" s="237" t="str">
        <f>"AI["&amp;A15&amp;"].ZH := "&amp;IF(ai!H15="",0,ai!H15)&amp;";"</f>
        <v>AI[11].ZH := 350;</v>
      </c>
      <c r="J15" s="237" t="str">
        <f>"AI["&amp;$A15&amp;"]." &amp;J$3&amp;".EN :=" &amp;IF(ai!J15="",0,1)&amp;"; " &amp; "AI["&amp;$A15&amp;"]." &amp;J$3&amp;".V :=" &amp;IF(ai!J15="",0,ai!J15)&amp;"; "</f>
        <v xml:space="preserve">AI[11].RL.EN :=1; AI[11].RL.V :=32; </v>
      </c>
      <c r="K15" s="237" t="str">
        <f>"AI["&amp;$A15&amp;"]." &amp;K$3&amp;".EN :=" &amp;IF(ai!K15="",0,1)&amp;"; " &amp; "AI["&amp;$A15&amp;"]." &amp;K$3&amp;".V :=" &amp;IF(ai!K15="",0,ai!K15)&amp;"; "</f>
        <v xml:space="preserve">AI[11].RH.EN :=1; AI[11].RH.V :=320; </v>
      </c>
      <c r="L15" s="237" t="str">
        <f>"AI["&amp;$A15&amp;"]." &amp;L$3&amp;".EN :=" &amp;IF(ai!L15="",0,1)&amp;"; " &amp; "AI["&amp;$A15&amp;"]." &amp;L$3&amp;".V :=" &amp;IF(ai!L15="",0,ai!L15)&amp;"; "</f>
        <v xml:space="preserve">AI[11].L.EN :=1; AI[11].L.V :=0; </v>
      </c>
      <c r="M15" s="237" t="str">
        <f>"AI["&amp;$A15&amp;"]." &amp;M$3&amp;".EN :=" &amp;IF(ai!M15="",0,1)&amp;"; " &amp; "AI["&amp;$A15&amp;"]." &amp;M$3&amp;".V :=" &amp;IF(ai!M15="",0,ai!M15)&amp;"; "</f>
        <v xml:space="preserve">AI[11].H.EN :=1; AI[11].H.V :=0; </v>
      </c>
      <c r="N15" s="237" t="str">
        <f>"AI["&amp;$A15&amp;"]." &amp;N$3&amp;".EN :=" &amp;IF(ai!N15="",0,1)&amp;"; " &amp; "AI["&amp;$A15&amp;"]." &amp;N$3&amp;".V :=" &amp;IF(ai!N15="",0,ai!N15)&amp;"; "</f>
        <v xml:space="preserve">AI[11].LL.EN :=1; AI[11].LL.V :=0; </v>
      </c>
      <c r="O15" s="237" t="str">
        <f>"AI["&amp;$A15&amp;"]." &amp;O$3&amp;".EN :=" &amp;IF(ai!O15="",0,1)&amp;"; " &amp; "AI["&amp;$A15&amp;"]." &amp;O$3&amp;".V :=" &amp;IF(ai!O15="",0,ai!O15)&amp;"; "</f>
        <v xml:space="preserve">AI[11].HH.EN :=1; AI[11].HH.V :=0; </v>
      </c>
    </row>
    <row r="16" spans="1:15">
      <c r="A16" s="236">
        <f>ai!$D16</f>
        <v>12</v>
      </c>
      <c r="C16" s="237" t="str">
        <f>"AI["&amp;A16&amp;"].En := "&amp;IF(ai!E16="",0,1)&amp;";"</f>
        <v>AI[12].En := 1;</v>
      </c>
      <c r="D16" s="237" t="str">
        <f>"AI["&amp;A16&amp;"].Group := "&amp;IF(ai!T16="",0,ai!T16)&amp;";"</f>
        <v>AI[12].Group := 1;</v>
      </c>
      <c r="E16" s="237" t="str">
        <f>"AI["&amp;A16&amp;"].isInvScale := "&amp;IF(ai!U16="",0,1)&amp;";"</f>
        <v>AI[12].isInvScale := 0;</v>
      </c>
      <c r="F16" s="237" t="str">
        <f>"AI["&amp;A16&amp;"].isCut := "&amp;IF(ai!V16="",0,1)&amp;"; "&amp;"AI["&amp;A16&amp;"].vCut := "&amp;IF(ai!V16="",0,ai!V16)&amp;"; "</f>
        <v xml:space="preserve">AI[12].isCut := 1; AI[12].vCut := 0.2; </v>
      </c>
      <c r="G16" s="237"/>
      <c r="H16" s="237" t="str">
        <f>"AI["&amp;A16&amp;"].ZL := "&amp;IF(ai!G16="",0,ai!G16)&amp;";"</f>
        <v>AI[12].ZL := 0;</v>
      </c>
      <c r="I16" s="237" t="str">
        <f>"AI["&amp;A16&amp;"].ZH := "&amp;IF(ai!H16="",0,ai!H16)&amp;";"</f>
        <v>AI[12].ZH := 20;</v>
      </c>
      <c r="J16" s="237" t="str">
        <f>"AI["&amp;$A16&amp;"]." &amp;J$3&amp;".EN :=" &amp;IF(ai!J16="",0,1)&amp;"; " &amp; "AI["&amp;$A16&amp;"]." &amp;J$3&amp;".V :=" &amp;IF(ai!J16="",0,ai!J16)&amp;"; "</f>
        <v xml:space="preserve">AI[12].RL.EN :=1; AI[12].RL.V :=5; </v>
      </c>
      <c r="K16" s="237" t="str">
        <f>"AI["&amp;$A16&amp;"]." &amp;K$3&amp;".EN :=" &amp;IF(ai!K16="",0,1)&amp;"; " &amp; "AI["&amp;$A16&amp;"]." &amp;K$3&amp;".V :=" &amp;IF(ai!K16="",0,ai!K16)&amp;"; "</f>
        <v xml:space="preserve">AI[12].RH.EN :=1; AI[12].RH.V :=13; </v>
      </c>
      <c r="L16" s="237" t="str">
        <f>"AI["&amp;$A16&amp;"]." &amp;L$3&amp;".EN :=" &amp;IF(ai!L16="",0,1)&amp;"; " &amp; "AI["&amp;$A16&amp;"]." &amp;L$3&amp;".V :=" &amp;IF(ai!L16="",0,ai!L16)&amp;"; "</f>
        <v xml:space="preserve">AI[12].L.EN :=1; AI[12].L.V :=0; </v>
      </c>
      <c r="M16" s="237" t="str">
        <f>"AI["&amp;$A16&amp;"]." &amp;M$3&amp;".EN :=" &amp;IF(ai!M16="",0,1)&amp;"; " &amp; "AI["&amp;$A16&amp;"]." &amp;M$3&amp;".V :=" &amp;IF(ai!M16="",0,ai!M16)&amp;"; "</f>
        <v xml:space="preserve">AI[12].H.EN :=1; AI[12].H.V :=13; </v>
      </c>
      <c r="N16" s="237" t="str">
        <f>"AI["&amp;$A16&amp;"]." &amp;N$3&amp;".EN :=" &amp;IF(ai!N16="",0,1)&amp;"; " &amp; "AI["&amp;$A16&amp;"]." &amp;N$3&amp;".V :=" &amp;IF(ai!N16="",0,ai!N16)&amp;"; "</f>
        <v xml:space="preserve">AI[12].LL.EN :=1; AI[12].LL.V :=0; </v>
      </c>
      <c r="O16" s="237" t="str">
        <f>"AI["&amp;$A16&amp;"]." &amp;O$3&amp;".EN :=" &amp;IF(ai!O16="",0,1)&amp;"; " &amp; "AI["&amp;$A16&amp;"]." &amp;O$3&amp;".V :=" &amp;IF(ai!O16="",0,ai!O16)&amp;"; "</f>
        <v xml:space="preserve">AI[12].HH.EN :=1; AI[12].HH.V :=14; </v>
      </c>
    </row>
    <row r="17" spans="1:15">
      <c r="A17" s="236">
        <f>ai!$D17</f>
        <v>13</v>
      </c>
      <c r="C17" s="237" t="str">
        <f>"AI["&amp;A17&amp;"].En := "&amp;IF(ai!E17="",0,1)&amp;";"</f>
        <v>AI[13].En := 1;</v>
      </c>
      <c r="D17" s="237" t="str">
        <f>"AI["&amp;A17&amp;"].Group := "&amp;IF(ai!T17="",0,ai!T17)&amp;";"</f>
        <v>AI[13].Group := 1;</v>
      </c>
      <c r="E17" s="237" t="str">
        <f>"AI["&amp;A17&amp;"].isInvScale := "&amp;IF(ai!U17="",0,1)&amp;";"</f>
        <v>AI[13].isInvScale := 0;</v>
      </c>
      <c r="F17" s="237" t="str">
        <f>"AI["&amp;A17&amp;"].isCut := "&amp;IF(ai!V17="",0,1)&amp;"; "&amp;"AI["&amp;A17&amp;"].vCut := "&amp;IF(ai!V17="",0,ai!V17)&amp;"; "</f>
        <v xml:space="preserve">AI[13].isCut := 1; AI[13].vCut := 0.02; </v>
      </c>
      <c r="G17" s="237"/>
      <c r="H17" s="237" t="str">
        <f>"AI["&amp;A17&amp;"].ZL := "&amp;IF(ai!G17="",0,ai!G17)&amp;";"</f>
        <v>AI[13].ZL := 0;</v>
      </c>
      <c r="I17" s="237" t="str">
        <f>"AI["&amp;A17&amp;"].ZH := "&amp;IF(ai!H17="",0,ai!H17)&amp;";"</f>
        <v>AI[13].ZH := 2;</v>
      </c>
      <c r="J17" s="237" t="str">
        <f>"AI["&amp;$A17&amp;"]." &amp;J$3&amp;".EN :=" &amp;IF(ai!J17="",0,1)&amp;"; " &amp; "AI["&amp;$A17&amp;"]." &amp;J$3&amp;".V :=" &amp;IF(ai!J17="",0,ai!J17)&amp;"; "</f>
        <v xml:space="preserve">AI[13].RL.EN :=1; AI[13].RL.V :=0.95; </v>
      </c>
      <c r="K17" s="237" t="str">
        <f>"AI["&amp;$A17&amp;"]." &amp;K$3&amp;".EN :=" &amp;IF(ai!K17="",0,1)&amp;"; " &amp; "AI["&amp;$A17&amp;"]." &amp;K$3&amp;".V :=" &amp;IF(ai!K17="",0,ai!K17)&amp;"; "</f>
        <v xml:space="preserve">AI[13].RH.EN :=1; AI[13].RH.V :=1.05; </v>
      </c>
      <c r="L17" s="237" t="str">
        <f>"AI["&amp;$A17&amp;"]." &amp;L$3&amp;".EN :=" &amp;IF(ai!L17="",0,1)&amp;"; " &amp; "AI["&amp;$A17&amp;"]." &amp;L$3&amp;".V :=" &amp;IF(ai!L17="",0,ai!L17)&amp;"; "</f>
        <v xml:space="preserve">AI[13].L.EN :=1; AI[13].L.V :=1; </v>
      </c>
      <c r="M17" s="237" t="str">
        <f>"AI["&amp;$A17&amp;"]." &amp;M$3&amp;".EN :=" &amp;IF(ai!M17="",0,1)&amp;"; " &amp; "AI["&amp;$A17&amp;"]." &amp;M$3&amp;".V :=" &amp;IF(ai!M17="",0,ai!M17)&amp;"; "</f>
        <v xml:space="preserve">AI[13].H.EN :=1; AI[13].H.V :=0; </v>
      </c>
      <c r="N17" s="237" t="str">
        <f>"AI["&amp;$A17&amp;"]." &amp;N$3&amp;".EN :=" &amp;IF(ai!N17="",0,1)&amp;"; " &amp; "AI["&amp;$A17&amp;"]." &amp;N$3&amp;".V :=" &amp;IF(ai!N17="",0,ai!N17)&amp;"; "</f>
        <v xml:space="preserve">AI[13].LL.EN :=1; AI[13].LL.V :=0; </v>
      </c>
      <c r="O17" s="237" t="str">
        <f>"AI["&amp;$A17&amp;"]." &amp;O$3&amp;".EN :=" &amp;IF(ai!O17="",0,1)&amp;"; " &amp; "AI["&amp;$A17&amp;"]." &amp;O$3&amp;".V :=" &amp;IF(ai!O17="",0,ai!O17)&amp;"; "</f>
        <v xml:space="preserve">AI[13].HH.EN :=1; AI[13].HH.V :=0; </v>
      </c>
    </row>
    <row r="18" spans="1:15">
      <c r="A18" s="236">
        <f>ai!$D18</f>
        <v>14</v>
      </c>
      <c r="C18" s="237" t="str">
        <f>"AI["&amp;A18&amp;"].En := "&amp;IF(ai!E18="",0,1)&amp;";"</f>
        <v>AI[14].En := 1;</v>
      </c>
      <c r="D18" s="237" t="str">
        <f>"AI["&amp;A18&amp;"].Group := "&amp;IF(ai!T18="",0,ai!T18)&amp;";"</f>
        <v>AI[14].Group := 3;</v>
      </c>
      <c r="E18" s="237" t="str">
        <f>"AI["&amp;A18&amp;"].isInvScale := "&amp;IF(ai!U18="",0,1)&amp;";"</f>
        <v>AI[14].isInvScale := 0;</v>
      </c>
      <c r="F18" s="237" t="str">
        <f>"AI["&amp;A18&amp;"].isCut := "&amp;IF(ai!V18="",0,1)&amp;"; "&amp;"AI["&amp;A18&amp;"].vCut := "&amp;IF(ai!V18="",0,ai!V18)&amp;"; "</f>
        <v xml:space="preserve">AI[14].isCut := 1; AI[14].vCut := 0; </v>
      </c>
      <c r="G18" s="237"/>
      <c r="H18" s="237" t="str">
        <f>"AI["&amp;A18&amp;"].ZL := "&amp;IF(ai!G18="",0,ai!G18)&amp;";"</f>
        <v>AI[14].ZL := 0;</v>
      </c>
      <c r="I18" s="237" t="str">
        <f>"AI["&amp;A18&amp;"].ZH := "&amp;IF(ai!H18="",0,ai!H18)&amp;";"</f>
        <v>AI[14].ZH := 0;</v>
      </c>
      <c r="J18" s="237" t="str">
        <f>"AI["&amp;$A18&amp;"]." &amp;J$3&amp;".EN :=" &amp;IF(ai!J18="",0,1)&amp;"; " &amp; "AI["&amp;$A18&amp;"]." &amp;J$3&amp;".V :=" &amp;IF(ai!J18="",0,ai!J18)&amp;"; "</f>
        <v xml:space="preserve">AI[14].RL.EN :=1; AI[14].RL.V :=0.6; </v>
      </c>
      <c r="K18" s="237" t="str">
        <f>"AI["&amp;$A18&amp;"]." &amp;K$3&amp;".EN :=" &amp;IF(ai!K18="",0,1)&amp;"; " &amp; "AI["&amp;$A18&amp;"]." &amp;K$3&amp;".V :=" &amp;IF(ai!K18="",0,ai!K18)&amp;"; "</f>
        <v xml:space="preserve">AI[14].RH.EN :=1; AI[14].RH.V :=1.2; </v>
      </c>
      <c r="L18" s="237" t="str">
        <f>"AI["&amp;$A18&amp;"]." &amp;L$3&amp;".EN :=" &amp;IF(ai!L18="",0,1)&amp;"; " &amp; "AI["&amp;$A18&amp;"]." &amp;L$3&amp;".V :=" &amp;IF(ai!L18="",0,ai!L18)&amp;"; "</f>
        <v xml:space="preserve">AI[14].L.EN :=1; AI[14].L.V :=0.5; </v>
      </c>
      <c r="M18" s="237" t="str">
        <f>"AI["&amp;$A18&amp;"]." &amp;M$3&amp;".EN :=" &amp;IF(ai!M18="",0,1)&amp;"; " &amp; "AI["&amp;$A18&amp;"]." &amp;M$3&amp;".V :=" &amp;IF(ai!M18="",0,ai!M18)&amp;"; "</f>
        <v xml:space="preserve">AI[14].H.EN :=1; AI[14].H.V :=0; </v>
      </c>
      <c r="N18" s="237" t="str">
        <f>"AI["&amp;$A18&amp;"]." &amp;N$3&amp;".EN :=" &amp;IF(ai!N18="",0,1)&amp;"; " &amp; "AI["&amp;$A18&amp;"]." &amp;N$3&amp;".V :=" &amp;IF(ai!N18="",0,ai!N18)&amp;"; "</f>
        <v xml:space="preserve">AI[14].LL.EN :=1; AI[14].LL.V :=0; </v>
      </c>
      <c r="O18" s="237" t="str">
        <f>"AI["&amp;$A18&amp;"]." &amp;O$3&amp;".EN :=" &amp;IF(ai!O18="",0,1)&amp;"; " &amp; "AI["&amp;$A18&amp;"]." &amp;O$3&amp;".V :=" &amp;IF(ai!O18="",0,ai!O18)&amp;"; "</f>
        <v xml:space="preserve">AI[14].HH.EN :=1; AI[14].HH.V :=0; </v>
      </c>
    </row>
    <row r="19" spans="1:15">
      <c r="A19" s="236">
        <f>ai!$D19</f>
        <v>15</v>
      </c>
      <c r="C19" s="237" t="str">
        <f>"AI["&amp;A19&amp;"].En := "&amp;IF(ai!E19="",0,1)&amp;";"</f>
        <v>AI[15].En := 1;</v>
      </c>
      <c r="D19" s="237" t="str">
        <f>"AI["&amp;A19&amp;"].Group := "&amp;IF(ai!T19="",0,ai!T19)&amp;";"</f>
        <v>AI[15].Group := 3;</v>
      </c>
      <c r="E19" s="237" t="str">
        <f>"AI["&amp;A19&amp;"].isInvScale := "&amp;IF(ai!U19="",0,1)&amp;";"</f>
        <v>AI[15].isInvScale := 0;</v>
      </c>
      <c r="F19" s="237" t="str">
        <f>"AI["&amp;A19&amp;"].isCut := "&amp;IF(ai!V19="",0,1)&amp;"; "&amp;"AI["&amp;A19&amp;"].vCut := "&amp;IF(ai!V19="",0,ai!V19)&amp;"; "</f>
        <v xml:space="preserve">AI[15].isCut := 1; AI[15].vCut := 0; </v>
      </c>
      <c r="G19" s="237"/>
      <c r="H19" s="237" t="str">
        <f>"AI["&amp;A19&amp;"].ZL := "&amp;IF(ai!G19="",0,ai!G19)&amp;";"</f>
        <v>AI[15].ZL := 0;</v>
      </c>
      <c r="I19" s="237" t="str">
        <f>"AI["&amp;A19&amp;"].ZH := "&amp;IF(ai!H19="",0,ai!H19)&amp;";"</f>
        <v>AI[15].ZH := 0;</v>
      </c>
      <c r="J19" s="237" t="str">
        <f>"AI["&amp;$A19&amp;"]." &amp;J$3&amp;".EN :=" &amp;IF(ai!J19="",0,1)&amp;"; " &amp; "AI["&amp;$A19&amp;"]." &amp;J$3&amp;".V :=" &amp;IF(ai!J19="",0,ai!J19)&amp;"; "</f>
        <v xml:space="preserve">AI[15].RL.EN :=1; AI[15].RL.V :=0.6; </v>
      </c>
      <c r="K19" s="237" t="str">
        <f>"AI["&amp;$A19&amp;"]." &amp;K$3&amp;".EN :=" &amp;IF(ai!K19="",0,1)&amp;"; " &amp; "AI["&amp;$A19&amp;"]." &amp;K$3&amp;".V :=" &amp;IF(ai!K19="",0,ai!K19)&amp;"; "</f>
        <v xml:space="preserve">AI[15].RH.EN :=1; AI[15].RH.V :=1.2; </v>
      </c>
      <c r="L19" s="237" t="str">
        <f>"AI["&amp;$A19&amp;"]." &amp;L$3&amp;".EN :=" &amp;IF(ai!L19="",0,1)&amp;"; " &amp; "AI["&amp;$A19&amp;"]." &amp;L$3&amp;".V :=" &amp;IF(ai!L19="",0,ai!L19)&amp;"; "</f>
        <v xml:space="preserve">AI[15].L.EN :=1; AI[15].L.V :=0.5; </v>
      </c>
      <c r="M19" s="237" t="str">
        <f>"AI["&amp;$A19&amp;"]." &amp;M$3&amp;".EN :=" &amp;IF(ai!M19="",0,1)&amp;"; " &amp; "AI["&amp;$A19&amp;"]." &amp;M$3&amp;".V :=" &amp;IF(ai!M19="",0,ai!M19)&amp;"; "</f>
        <v xml:space="preserve">AI[15].H.EN :=1; AI[15].H.V :=0; </v>
      </c>
      <c r="N19" s="237" t="str">
        <f>"AI["&amp;$A19&amp;"]." &amp;N$3&amp;".EN :=" &amp;IF(ai!N19="",0,1)&amp;"; " &amp; "AI["&amp;$A19&amp;"]." &amp;N$3&amp;".V :=" &amp;IF(ai!N19="",0,ai!N19)&amp;"; "</f>
        <v xml:space="preserve">AI[15].LL.EN :=1; AI[15].LL.V :=0; </v>
      </c>
      <c r="O19" s="237" t="str">
        <f>"AI["&amp;$A19&amp;"]." &amp;O$3&amp;".EN :=" &amp;IF(ai!O19="",0,1)&amp;"; " &amp; "AI["&amp;$A19&amp;"]." &amp;O$3&amp;".V :=" &amp;IF(ai!O19="",0,ai!O19)&amp;"; "</f>
        <v xml:space="preserve">AI[15].HH.EN :=1; AI[15].HH.V :=0; </v>
      </c>
    </row>
    <row r="20" spans="1:15">
      <c r="A20" s="236">
        <f>ai!$D20</f>
        <v>0</v>
      </c>
      <c r="C20" s="237" t="str">
        <f>"AI["&amp;A20&amp;"].En := "&amp;IF(ai!E20="",0,1)&amp;";"</f>
        <v>AI[0].En := 1;</v>
      </c>
      <c r="D20" s="237" t="str">
        <f>"AI["&amp;A20&amp;"].Group := "&amp;IF(ai!T20="",0,ai!T20)&amp;";"</f>
        <v>AI[0].Group := 1;</v>
      </c>
      <c r="E20" s="237" t="str">
        <f>"AI["&amp;A20&amp;"].isInvScale := "&amp;IF(ai!U20="",0,1)&amp;";"</f>
        <v>AI[0].isInvScale := 0;</v>
      </c>
      <c r="F20" s="237" t="str">
        <f>"AI["&amp;A20&amp;"].isCut := "&amp;IF(ai!V20="",0,1)&amp;"; "&amp;"AI["&amp;A20&amp;"].vCut := "&amp;IF(ai!V20="",0,ai!V20)&amp;"; "</f>
        <v xml:space="preserve">AI[0].isCut := 1; AI[0].vCut := 1; </v>
      </c>
      <c r="G20" s="237"/>
      <c r="H20" s="237" t="str">
        <f>"AI["&amp;A20&amp;"].ZL := "&amp;IF(ai!G20="",0,ai!G20)&amp;";"</f>
        <v>AI[0].ZL := -50;</v>
      </c>
      <c r="I20" s="237" t="str">
        <f>"AI["&amp;A20&amp;"].ZH := "&amp;IF(ai!H20="",0,ai!H20)&amp;";"</f>
        <v>AI[0].ZH := 50;</v>
      </c>
      <c r="J20" s="237" t="str">
        <f>"AI["&amp;$A20&amp;"]." &amp;J$3&amp;".EN :=" &amp;IF(ai!J20="",0,1)&amp;"; " &amp; "AI["&amp;$A20&amp;"]." &amp;J$3&amp;".V :=" &amp;IF(ai!J20="",0,ai!J20)&amp;"; "</f>
        <v xml:space="preserve">AI[0].RL.EN :=1; AI[0].RL.V :=5; </v>
      </c>
      <c r="K20" s="237" t="str">
        <f>"AI["&amp;$A20&amp;"]." &amp;K$3&amp;".EN :=" &amp;IF(ai!K20="",0,1)&amp;"; " &amp; "AI["&amp;$A20&amp;"]." &amp;K$3&amp;".V :=" &amp;IF(ai!K20="",0,ai!K20)&amp;"; "</f>
        <v xml:space="preserve">AI[0].RH.EN :=1; AI[0].RH.V :=40; </v>
      </c>
      <c r="L20" s="237" t="str">
        <f>"AI["&amp;$A20&amp;"]." &amp;L$3&amp;".EN :=" &amp;IF(ai!L20="",0,1)&amp;"; " &amp; "AI["&amp;$A20&amp;"]." &amp;L$3&amp;".V :=" &amp;IF(ai!L20="",0,ai!L20)&amp;"; "</f>
        <v xml:space="preserve">AI[0].L.EN :=1; AI[0].L.V :=0; </v>
      </c>
      <c r="M20" s="237" t="str">
        <f>"AI["&amp;$A20&amp;"]." &amp;M$3&amp;".EN :=" &amp;IF(ai!M20="",0,1)&amp;"; " &amp; "AI["&amp;$A20&amp;"]." &amp;M$3&amp;".V :=" &amp;IF(ai!M20="",0,ai!M20)&amp;"; "</f>
        <v xml:space="preserve">AI[0].H.EN :=1; AI[0].H.V :=0; </v>
      </c>
      <c r="N20" s="237" t="str">
        <f>"AI["&amp;$A20&amp;"]." &amp;N$3&amp;".EN :=" &amp;IF(ai!N20="",0,1)&amp;"; " &amp; "AI["&amp;$A20&amp;"]." &amp;N$3&amp;".V :=" &amp;IF(ai!N20="",0,ai!N20)&amp;"; "</f>
        <v xml:space="preserve">AI[0].LL.EN :=1; AI[0].LL.V :=0; </v>
      </c>
      <c r="O20" s="237" t="str">
        <f>"AI["&amp;$A20&amp;"]." &amp;O$3&amp;".EN :=" &amp;IF(ai!O20="",0,1)&amp;"; " &amp; "AI["&amp;$A20&amp;"]." &amp;O$3&amp;".V :=" &amp;IF(ai!O20="",0,ai!O20)&amp;"; "</f>
        <v xml:space="preserve">AI[0].HH.EN :=1; AI[0].HH.V :=0; </v>
      </c>
    </row>
    <row r="21" spans="1:15">
      <c r="A21" s="236">
        <f>ai!$D21</f>
        <v>1</v>
      </c>
      <c r="C21" s="237" t="str">
        <f>"AI["&amp;A21&amp;"].En := "&amp;IF(ai!E21="",0,1)&amp;";"</f>
        <v>AI[1].En := 1;</v>
      </c>
      <c r="D21" s="237" t="str">
        <f>"AI["&amp;A21&amp;"].Group := "&amp;IF(ai!T21="",0,ai!T21)&amp;";"</f>
        <v>AI[1].Group := 1;</v>
      </c>
      <c r="E21" s="237" t="str">
        <f>"AI["&amp;A21&amp;"].isInvScale := "&amp;IF(ai!U21="",0,1)&amp;";"</f>
        <v>AI[1].isInvScale := 0;</v>
      </c>
      <c r="F21" s="237" t="str">
        <f>"AI["&amp;A21&amp;"].isCut := "&amp;IF(ai!V21="",0,1)&amp;"; "&amp;"AI["&amp;A21&amp;"].vCut := "&amp;IF(ai!V21="",0,ai!V21)&amp;"; "</f>
        <v xml:space="preserve">AI[1].isCut := 1; AI[1].vCut := 1; </v>
      </c>
      <c r="G21" s="237"/>
      <c r="H21" s="237" t="str">
        <f>"AI["&amp;A21&amp;"].ZL := "&amp;IF(ai!G21="",0,ai!G21)&amp;";"</f>
        <v>AI[1].ZL := 0;</v>
      </c>
      <c r="I21" s="237" t="str">
        <f>"AI["&amp;A21&amp;"].ZH := "&amp;IF(ai!H21="",0,ai!H21)&amp;";"</f>
        <v>AI[1].ZH := 100;</v>
      </c>
      <c r="J21" s="237" t="str">
        <f>"AI["&amp;$A21&amp;"]." &amp;J$3&amp;".EN :=" &amp;IF(ai!J21="",0,1)&amp;"; " &amp; "AI["&amp;$A21&amp;"]." &amp;J$3&amp;".V :=" &amp;IF(ai!J21="",0,ai!J21)&amp;"; "</f>
        <v xml:space="preserve">AI[1].RL.EN :=1; AI[1].RL.V :=30; </v>
      </c>
      <c r="K21" s="237" t="str">
        <f>"AI["&amp;$A21&amp;"]." &amp;K$3&amp;".EN :=" &amp;IF(ai!K21="",0,1)&amp;"; " &amp; "AI["&amp;$A21&amp;"]." &amp;K$3&amp;".V :=" &amp;IF(ai!K21="",0,ai!K21)&amp;"; "</f>
        <v xml:space="preserve">AI[1].RH.EN :=1; AI[1].RH.V :=60; </v>
      </c>
      <c r="L21" s="237" t="str">
        <f>"AI["&amp;$A21&amp;"]." &amp;L$3&amp;".EN :=" &amp;IF(ai!L21="",0,1)&amp;"; " &amp; "AI["&amp;$A21&amp;"]." &amp;L$3&amp;".V :=" &amp;IF(ai!L21="",0,ai!L21)&amp;"; "</f>
        <v xml:space="preserve">AI[1].L.EN :=1; AI[1].L.V :=0; </v>
      </c>
      <c r="M21" s="237" t="str">
        <f>"AI["&amp;$A21&amp;"]." &amp;M$3&amp;".EN :=" &amp;IF(ai!M21="",0,1)&amp;"; " &amp; "AI["&amp;$A21&amp;"]." &amp;M$3&amp;".V :=" &amp;IF(ai!M21="",0,ai!M21)&amp;"; "</f>
        <v xml:space="preserve">AI[1].H.EN :=1; AI[1].H.V :=0; </v>
      </c>
      <c r="N21" s="237" t="str">
        <f>"AI["&amp;$A21&amp;"]." &amp;N$3&amp;".EN :=" &amp;IF(ai!N21="",0,1)&amp;"; " &amp; "AI["&amp;$A21&amp;"]." &amp;N$3&amp;".V :=" &amp;IF(ai!N21="",0,ai!N21)&amp;"; "</f>
        <v xml:space="preserve">AI[1].LL.EN :=1; AI[1].LL.V :=0; </v>
      </c>
      <c r="O21" s="237" t="str">
        <f>"AI["&amp;$A21&amp;"]." &amp;O$3&amp;".EN :=" &amp;IF(ai!O21="",0,1)&amp;"; " &amp; "AI["&amp;$A21&amp;"]." &amp;O$3&amp;".V :=" &amp;IF(ai!O21="",0,ai!O21)&amp;"; "</f>
        <v xml:space="preserve">AI[1].HH.EN :=1; AI[1].HH.V :=0; </v>
      </c>
    </row>
    <row r="22" spans="1:15">
      <c r="A22" s="236">
        <f>ai!$D22</f>
        <v>2</v>
      </c>
      <c r="C22" s="237" t="str">
        <f>"AI["&amp;A22&amp;"].En := "&amp;IF(ai!E22="",0,1)&amp;";"</f>
        <v>AI[2].En := 1;</v>
      </c>
      <c r="D22" s="237" t="str">
        <f>"AI["&amp;A22&amp;"].Group := "&amp;IF(ai!T22="",0,ai!T22)&amp;";"</f>
        <v>AI[2].Group := 1;</v>
      </c>
      <c r="E22" s="237" t="str">
        <f>"AI["&amp;A22&amp;"].isInvScale := "&amp;IF(ai!U22="",0,1)&amp;";"</f>
        <v>AI[2].isInvScale := 0;</v>
      </c>
      <c r="F22" s="237" t="str">
        <f>"AI["&amp;A22&amp;"].isCut := "&amp;IF(ai!V22="",0,1)&amp;"; "&amp;"AI["&amp;A22&amp;"].vCut := "&amp;IF(ai!V22="",0,ai!V22)&amp;"; "</f>
        <v xml:space="preserve">AI[2].isCut := 1; AI[2].vCut := 1; </v>
      </c>
      <c r="G22" s="237"/>
      <c r="H22" s="237" t="str">
        <f>"AI["&amp;A22&amp;"].ZL := "&amp;IF(ai!G22="",0,ai!G22)&amp;";"</f>
        <v>AI[2].ZL := 0;</v>
      </c>
      <c r="I22" s="237" t="str">
        <f>"AI["&amp;A22&amp;"].ZH := "&amp;IF(ai!H22="",0,ai!H22)&amp;";"</f>
        <v>AI[2].ZH := 100;</v>
      </c>
      <c r="J22" s="237" t="str">
        <f>"AI["&amp;$A22&amp;"]." &amp;J$3&amp;".EN :=" &amp;IF(ai!J22="",0,1)&amp;"; " &amp; "AI["&amp;$A22&amp;"]." &amp;J$3&amp;".V :=" &amp;IF(ai!J22="",0,ai!J22)&amp;"; "</f>
        <v xml:space="preserve">AI[2].RL.EN :=1; AI[2].RL.V :=30; </v>
      </c>
      <c r="K22" s="237" t="str">
        <f>"AI["&amp;$A22&amp;"]." &amp;K$3&amp;".EN :=" &amp;IF(ai!K22="",0,1)&amp;"; " &amp; "AI["&amp;$A22&amp;"]." &amp;K$3&amp;".V :=" &amp;IF(ai!K22="",0,ai!K22)&amp;"; "</f>
        <v xml:space="preserve">AI[2].RH.EN :=1; AI[2].RH.V :=50; </v>
      </c>
      <c r="L22" s="237" t="str">
        <f>"AI["&amp;$A22&amp;"]." &amp;L$3&amp;".EN :=" &amp;IF(ai!L22="",0,1)&amp;"; " &amp; "AI["&amp;$A22&amp;"]." &amp;L$3&amp;".V :=" &amp;IF(ai!L22="",0,ai!L22)&amp;"; "</f>
        <v xml:space="preserve">AI[2].L.EN :=1; AI[2].L.V :=0; </v>
      </c>
      <c r="M22" s="237" t="str">
        <f>"AI["&amp;$A22&amp;"]." &amp;M$3&amp;".EN :=" &amp;IF(ai!M22="",0,1)&amp;"; " &amp; "AI["&amp;$A22&amp;"]." &amp;M$3&amp;".V :=" &amp;IF(ai!M22="",0,ai!M22)&amp;"; "</f>
        <v xml:space="preserve">AI[2].H.EN :=1; AI[2].H.V :=0; </v>
      </c>
      <c r="N22" s="237" t="str">
        <f>"AI["&amp;$A22&amp;"]." &amp;N$3&amp;".EN :=" &amp;IF(ai!N22="",0,1)&amp;"; " &amp; "AI["&amp;$A22&amp;"]." &amp;N$3&amp;".V :=" &amp;IF(ai!N22="",0,ai!N22)&amp;"; "</f>
        <v xml:space="preserve">AI[2].LL.EN :=1; AI[2].LL.V :=0; </v>
      </c>
      <c r="O22" s="237" t="str">
        <f>"AI["&amp;$A22&amp;"]." &amp;O$3&amp;".EN :=" &amp;IF(ai!O22="",0,1)&amp;"; " &amp; "AI["&amp;$A22&amp;"]." &amp;O$3&amp;".V :=" &amp;IF(ai!O22="",0,ai!O22)&amp;"; "</f>
        <v xml:space="preserve">AI[2].HH.EN :=1; AI[2].HH.V :=0; </v>
      </c>
    </row>
    <row r="23" spans="1:15">
      <c r="A23" s="236">
        <f>ai!$D23</f>
        <v>3</v>
      </c>
      <c r="C23" s="237" t="str">
        <f>"AI["&amp;A23&amp;"].En := "&amp;IF(ai!E23="",0,1)&amp;";"</f>
        <v>AI[3].En := 1;</v>
      </c>
      <c r="D23" s="237" t="str">
        <f>"AI["&amp;A23&amp;"].Group := "&amp;IF(ai!T23="",0,ai!T23)&amp;";"</f>
        <v>AI[3].Group := 1;</v>
      </c>
      <c r="E23" s="237" t="str">
        <f>"AI["&amp;A23&amp;"].isInvScale := "&amp;IF(ai!U23="",0,1)&amp;";"</f>
        <v>AI[3].isInvScale := 0;</v>
      </c>
      <c r="F23" s="237" t="str">
        <f>"AI["&amp;A23&amp;"].isCut := "&amp;IF(ai!V23="",0,1)&amp;"; "&amp;"AI["&amp;A23&amp;"].vCut := "&amp;IF(ai!V23="",0,ai!V23)&amp;"; "</f>
        <v xml:space="preserve">AI[3].isCut := 1; AI[3].vCut := 1; </v>
      </c>
      <c r="G23" s="237"/>
      <c r="H23" s="237" t="str">
        <f>"AI["&amp;A23&amp;"].ZL := "&amp;IF(ai!G23="",0,ai!G23)&amp;";"</f>
        <v>AI[3].ZL := 0;</v>
      </c>
      <c r="I23" s="237" t="str">
        <f>"AI["&amp;A23&amp;"].ZH := "&amp;IF(ai!H23="",0,ai!H23)&amp;";"</f>
        <v>AI[3].ZH := 100;</v>
      </c>
      <c r="J23" s="237" t="str">
        <f>"AI["&amp;$A23&amp;"]." &amp;J$3&amp;".EN :=" &amp;IF(ai!J23="",0,1)&amp;"; " &amp; "AI["&amp;$A23&amp;"]." &amp;J$3&amp;".V :=" &amp;IF(ai!J23="",0,ai!J23)&amp;"; "</f>
        <v xml:space="preserve">AI[3].RL.EN :=1; AI[3].RL.V :=20; </v>
      </c>
      <c r="K23" s="237" t="str">
        <f>"AI["&amp;$A23&amp;"]." &amp;K$3&amp;".EN :=" &amp;IF(ai!K23="",0,1)&amp;"; " &amp; "AI["&amp;$A23&amp;"]." &amp;K$3&amp;".V :=" &amp;IF(ai!K23="",0,ai!K23)&amp;"; "</f>
        <v xml:space="preserve">AI[3].RH.EN :=1; AI[3].RH.V :=80; </v>
      </c>
      <c r="L23" s="237" t="str">
        <f>"AI["&amp;$A23&amp;"]." &amp;L$3&amp;".EN :=" &amp;IF(ai!L23="",0,1)&amp;"; " &amp; "AI["&amp;$A23&amp;"]." &amp;L$3&amp;".V :=" &amp;IF(ai!L23="",0,ai!L23)&amp;"; "</f>
        <v xml:space="preserve">AI[3].L.EN :=1; AI[3].L.V :=0; </v>
      </c>
      <c r="M23" s="237" t="str">
        <f>"AI["&amp;$A23&amp;"]." &amp;M$3&amp;".EN :=" &amp;IF(ai!M23="",0,1)&amp;"; " &amp; "AI["&amp;$A23&amp;"]." &amp;M$3&amp;".V :=" &amp;IF(ai!M23="",0,ai!M23)&amp;"; "</f>
        <v xml:space="preserve">AI[3].H.EN :=1; AI[3].H.V :=0; </v>
      </c>
      <c r="N23" s="237" t="str">
        <f>"AI["&amp;$A23&amp;"]." &amp;N$3&amp;".EN :=" &amp;IF(ai!N23="",0,1)&amp;"; " &amp; "AI["&amp;$A23&amp;"]." &amp;N$3&amp;".V :=" &amp;IF(ai!N23="",0,ai!N23)&amp;"; "</f>
        <v xml:space="preserve">AI[3].LL.EN :=1; AI[3].LL.V :=0; </v>
      </c>
      <c r="O23" s="237" t="str">
        <f>"AI["&amp;$A23&amp;"]." &amp;O$3&amp;".EN :=" &amp;IF(ai!O23="",0,1)&amp;"; " &amp; "AI["&amp;$A23&amp;"]." &amp;O$3&amp;".V :=" &amp;IF(ai!O23="",0,ai!O23)&amp;"; "</f>
        <v xml:space="preserve">AI[3].HH.EN :=1; AI[3].HH.V :=0; </v>
      </c>
    </row>
    <row r="24" spans="1:15">
      <c r="A24" s="236">
        <f>ai!$D24</f>
        <v>4</v>
      </c>
      <c r="C24" s="237" t="str">
        <f>"AI["&amp;A24&amp;"].En := "&amp;IF(ai!E24="",0,1)&amp;";"</f>
        <v>AI[4].En := 1;</v>
      </c>
      <c r="D24" s="237" t="str">
        <f>"AI["&amp;A24&amp;"].Group := "&amp;IF(ai!T24="",0,ai!T24)&amp;";"</f>
        <v>AI[4].Group := 1;</v>
      </c>
      <c r="E24" s="237" t="str">
        <f>"AI["&amp;A24&amp;"].isInvScale := "&amp;IF(ai!U24="",0,1)&amp;";"</f>
        <v>AI[4].isInvScale := 0;</v>
      </c>
      <c r="F24" s="237" t="str">
        <f>"AI["&amp;A24&amp;"].isCut := "&amp;IF(ai!V24="",0,1)&amp;"; "&amp;"AI["&amp;A24&amp;"].vCut := "&amp;IF(ai!V24="",0,ai!V24)&amp;"; "</f>
        <v xml:space="preserve">AI[4].isCut := 0; AI[4].vCut := 0; </v>
      </c>
      <c r="G24" s="237"/>
      <c r="H24" s="237" t="str">
        <f>"AI["&amp;A24&amp;"].ZL := "&amp;IF(ai!G24="",0,ai!G24)&amp;";"</f>
        <v>AI[4].ZL := 0;</v>
      </c>
      <c r="I24" s="237" t="str">
        <f>"AI["&amp;A24&amp;"].ZH := "&amp;IF(ai!H24="",0,ai!H24)&amp;";"</f>
        <v>AI[4].ZH := 100;</v>
      </c>
      <c r="J24" s="237" t="str">
        <f>"AI["&amp;$A24&amp;"]." &amp;J$3&amp;".EN :=" &amp;IF(ai!J24="",0,1)&amp;"; " &amp; "AI["&amp;$A24&amp;"]." &amp;J$3&amp;".V :=" &amp;IF(ai!J24="",0,ai!J24)&amp;"; "</f>
        <v xml:space="preserve">AI[4].RL.EN :=1; AI[4].RL.V :=20; </v>
      </c>
      <c r="K24" s="237" t="str">
        <f>"AI["&amp;$A24&amp;"]." &amp;K$3&amp;".EN :=" &amp;IF(ai!K24="",0,1)&amp;"; " &amp; "AI["&amp;$A24&amp;"]." &amp;K$3&amp;".V :=" &amp;IF(ai!K24="",0,ai!K24)&amp;"; "</f>
        <v xml:space="preserve">AI[4].RH.EN :=1; AI[4].RH.V :=80; </v>
      </c>
      <c r="L24" s="237" t="str">
        <f>"AI["&amp;$A24&amp;"]." &amp;L$3&amp;".EN :=" &amp;IF(ai!L24="",0,1)&amp;"; " &amp; "AI["&amp;$A24&amp;"]." &amp;L$3&amp;".V :=" &amp;IF(ai!L24="",0,ai!L24)&amp;"; "</f>
        <v xml:space="preserve">AI[4].L.EN :=1; AI[4].L.V :=0; </v>
      </c>
      <c r="M24" s="237" t="str">
        <f>"AI["&amp;$A24&amp;"]." &amp;M$3&amp;".EN :=" &amp;IF(ai!M24="",0,1)&amp;"; " &amp; "AI["&amp;$A24&amp;"]." &amp;M$3&amp;".V :=" &amp;IF(ai!M24="",0,ai!M24)&amp;"; "</f>
        <v xml:space="preserve">AI[4].H.EN :=1; AI[4].H.V :=0; </v>
      </c>
      <c r="N24" s="237" t="str">
        <f>"AI["&amp;$A24&amp;"]." &amp;N$3&amp;".EN :=" &amp;IF(ai!N24="",0,1)&amp;"; " &amp; "AI["&amp;$A24&amp;"]." &amp;N$3&amp;".V :=" &amp;IF(ai!N24="",0,ai!N24)&amp;"; "</f>
        <v xml:space="preserve">AI[4].LL.EN :=1; AI[4].LL.V :=0; </v>
      </c>
      <c r="O24" s="237" t="str">
        <f>"AI["&amp;$A24&amp;"]." &amp;O$3&amp;".EN :=" &amp;IF(ai!O24="",0,1)&amp;"; " &amp; "AI["&amp;$A24&amp;"]." &amp;O$3&amp;".V :=" &amp;IF(ai!O24="",0,ai!O24)&amp;"; "</f>
        <v xml:space="preserve">AI[4].HH.EN :=1; AI[4].HH.V :=0; </v>
      </c>
    </row>
    <row r="25" spans="1:15">
      <c r="A25" s="236">
        <f>ai!$D25</f>
        <v>5</v>
      </c>
      <c r="C25" s="237" t="str">
        <f>"AI["&amp;A25&amp;"].En := "&amp;IF(ai!E25="",0,1)&amp;";"</f>
        <v>AI[5].En := 1;</v>
      </c>
      <c r="D25" s="237" t="str">
        <f>"AI["&amp;A25&amp;"].Group := "&amp;IF(ai!T25="",0,ai!T25)&amp;";"</f>
        <v>AI[5].Group := 1;</v>
      </c>
      <c r="E25" s="237" t="str">
        <f>"AI["&amp;A25&amp;"].isInvScale := "&amp;IF(ai!U25="",0,1)&amp;";"</f>
        <v>AI[5].isInvScale := 0;</v>
      </c>
      <c r="F25" s="237" t="str">
        <f>"AI["&amp;A25&amp;"].isCut := "&amp;IF(ai!V25="",0,1)&amp;"; "&amp;"AI["&amp;A25&amp;"].vCut := "&amp;IF(ai!V25="",0,ai!V25)&amp;"; "</f>
        <v xml:space="preserve">AI[5].isCut := 0; AI[5].vCut := 0; </v>
      </c>
      <c r="G25" s="237"/>
      <c r="H25" s="237" t="str">
        <f>"AI["&amp;A25&amp;"].ZL := "&amp;IF(ai!G25="",0,ai!G25)&amp;";"</f>
        <v>AI[5].ZL := 0;</v>
      </c>
      <c r="I25" s="237" t="str">
        <f>"AI["&amp;A25&amp;"].ZH := "&amp;IF(ai!H25="",0,ai!H25)&amp;";"</f>
        <v>AI[5].ZH := 100;</v>
      </c>
      <c r="J25" s="237" t="str">
        <f>"AI["&amp;$A25&amp;"]." &amp;J$3&amp;".EN :=" &amp;IF(ai!J25="",0,1)&amp;"; " &amp; "AI["&amp;$A25&amp;"]." &amp;J$3&amp;".V :=" &amp;IF(ai!J25="",0,ai!J25)&amp;"; "</f>
        <v xml:space="preserve">AI[5].RL.EN :=1; AI[5].RL.V :=20; </v>
      </c>
      <c r="K25" s="237" t="str">
        <f>"AI["&amp;$A25&amp;"]." &amp;K$3&amp;".EN :=" &amp;IF(ai!K25="",0,1)&amp;"; " &amp; "AI["&amp;$A25&amp;"]." &amp;K$3&amp;".V :=" &amp;IF(ai!K25="",0,ai!K25)&amp;"; "</f>
        <v xml:space="preserve">AI[5].RH.EN :=1; AI[5].RH.V :=80; </v>
      </c>
      <c r="L25" s="237" t="str">
        <f>"AI["&amp;$A25&amp;"]." &amp;L$3&amp;".EN :=" &amp;IF(ai!L25="",0,1)&amp;"; " &amp; "AI["&amp;$A25&amp;"]." &amp;L$3&amp;".V :=" &amp;IF(ai!L25="",0,ai!L25)&amp;"; "</f>
        <v xml:space="preserve">AI[5].L.EN :=1; AI[5].L.V :=0; </v>
      </c>
      <c r="M25" s="237" t="str">
        <f>"AI["&amp;$A25&amp;"]." &amp;M$3&amp;".EN :=" &amp;IF(ai!M25="",0,1)&amp;"; " &amp; "AI["&amp;$A25&amp;"]." &amp;M$3&amp;".V :=" &amp;IF(ai!M25="",0,ai!M25)&amp;"; "</f>
        <v xml:space="preserve">AI[5].H.EN :=1; AI[5].H.V :=0; </v>
      </c>
      <c r="N25" s="237" t="str">
        <f>"AI["&amp;$A25&amp;"]." &amp;N$3&amp;".EN :=" &amp;IF(ai!N25="",0,1)&amp;"; " &amp; "AI["&amp;$A25&amp;"]." &amp;N$3&amp;".V :=" &amp;IF(ai!N25="",0,ai!N25)&amp;"; "</f>
        <v xml:space="preserve">AI[5].LL.EN :=1; AI[5].LL.V :=0; </v>
      </c>
      <c r="O25" s="237" t="str">
        <f>"AI["&amp;$A25&amp;"]." &amp;O$3&amp;".EN :=" &amp;IF(ai!O25="",0,1)&amp;"; " &amp; "AI["&amp;$A25&amp;"]." &amp;O$3&amp;".V :=" &amp;IF(ai!O25="",0,ai!O25)&amp;"; "</f>
        <v xml:space="preserve">AI[5].HH.EN :=1; AI[5].HH.V :=0; </v>
      </c>
    </row>
    <row r="26" spans="1:15">
      <c r="A26" s="236">
        <f>ai!$D26</f>
        <v>6</v>
      </c>
      <c r="C26" s="237" t="str">
        <f>"AI["&amp;A26&amp;"].En := "&amp;IF(ai!E26="",0,1)&amp;";"</f>
        <v>AI[6].En := 1;</v>
      </c>
      <c r="D26" s="237" t="str">
        <f>"AI["&amp;A26&amp;"].Group := "&amp;IF(ai!T26="",0,ai!T26)&amp;";"</f>
        <v>AI[6].Group := 1;</v>
      </c>
      <c r="E26" s="237" t="str">
        <f>"AI["&amp;A26&amp;"].isInvScale := "&amp;IF(ai!U26="",0,1)&amp;";"</f>
        <v>AI[6].isInvScale := 0;</v>
      </c>
      <c r="F26" s="237" t="str">
        <f>"AI["&amp;A26&amp;"].isCut := "&amp;IF(ai!V26="",0,1)&amp;"; "&amp;"AI["&amp;A26&amp;"].vCut := "&amp;IF(ai!V26="",0,ai!V26)&amp;"; "</f>
        <v xml:space="preserve">AI[6].isCut := 0; AI[6].vCut := 0; </v>
      </c>
      <c r="G26" s="237"/>
      <c r="H26" s="237" t="str">
        <f>"AI["&amp;A26&amp;"].ZL := "&amp;IF(ai!G26="",0,ai!G26)&amp;";"</f>
        <v>AI[6].ZL := 0;</v>
      </c>
      <c r="I26" s="237" t="str">
        <f>"AI["&amp;A26&amp;"].ZH := "&amp;IF(ai!H26="",0,ai!H26)&amp;";"</f>
        <v>AI[6].ZH := 100;</v>
      </c>
      <c r="J26" s="237" t="str">
        <f>"AI["&amp;$A26&amp;"]." &amp;J$3&amp;".EN :=" &amp;IF(ai!J26="",0,1)&amp;"; " &amp; "AI["&amp;$A26&amp;"]." &amp;J$3&amp;".V :=" &amp;IF(ai!J26="",0,ai!J26)&amp;"; "</f>
        <v xml:space="preserve">AI[6].RL.EN :=1; AI[6].RL.V :=20; </v>
      </c>
      <c r="K26" s="237" t="str">
        <f>"AI["&amp;$A26&amp;"]." &amp;K$3&amp;".EN :=" &amp;IF(ai!K26="",0,1)&amp;"; " &amp; "AI["&amp;$A26&amp;"]." &amp;K$3&amp;".V :=" &amp;IF(ai!K26="",0,ai!K26)&amp;"; "</f>
        <v xml:space="preserve">AI[6].RH.EN :=1; AI[6].RH.V :=80; </v>
      </c>
      <c r="L26" s="237" t="str">
        <f>"AI["&amp;$A26&amp;"]." &amp;L$3&amp;".EN :=" &amp;IF(ai!L26="",0,1)&amp;"; " &amp; "AI["&amp;$A26&amp;"]." &amp;L$3&amp;".V :=" &amp;IF(ai!L26="",0,ai!L26)&amp;"; "</f>
        <v xml:space="preserve">AI[6].L.EN :=1; AI[6].L.V :=0; </v>
      </c>
      <c r="M26" s="237" t="str">
        <f>"AI["&amp;$A26&amp;"]." &amp;M$3&amp;".EN :=" &amp;IF(ai!M26="",0,1)&amp;"; " &amp; "AI["&amp;$A26&amp;"]." &amp;M$3&amp;".V :=" &amp;IF(ai!M26="",0,ai!M26)&amp;"; "</f>
        <v xml:space="preserve">AI[6].H.EN :=1; AI[6].H.V :=0; </v>
      </c>
      <c r="N26" s="237" t="str">
        <f>"AI["&amp;$A26&amp;"]." &amp;N$3&amp;".EN :=" &amp;IF(ai!N26="",0,1)&amp;"; " &amp; "AI["&amp;$A26&amp;"]." &amp;N$3&amp;".V :=" &amp;IF(ai!N26="",0,ai!N26)&amp;"; "</f>
        <v xml:space="preserve">AI[6].LL.EN :=1; AI[6].LL.V :=0; </v>
      </c>
      <c r="O26" s="237" t="str">
        <f>"AI["&amp;$A26&amp;"]." &amp;O$3&amp;".EN :=" &amp;IF(ai!O26="",0,1)&amp;"; " &amp; "AI["&amp;$A26&amp;"]." &amp;O$3&amp;".V :=" &amp;IF(ai!O26="",0,ai!O26)&amp;"; "</f>
        <v xml:space="preserve">AI[6].HH.EN :=1; AI[6].HH.V :=0; </v>
      </c>
    </row>
    <row r="27" spans="1:15">
      <c r="A27" s="236">
        <f>ai!$D27</f>
        <v>7</v>
      </c>
      <c r="C27" s="237" t="str">
        <f>"AI["&amp;A27&amp;"].En := "&amp;IF(ai!E27="",0,1)&amp;";"</f>
        <v>AI[7].En := 1;</v>
      </c>
      <c r="D27" s="237" t="str">
        <f>"AI["&amp;A27&amp;"].Group := "&amp;IF(ai!T27="",0,ai!T27)&amp;";"</f>
        <v>AI[7].Group := 1;</v>
      </c>
      <c r="E27" s="237" t="str">
        <f>"AI["&amp;A27&amp;"].isInvScale := "&amp;IF(ai!U27="",0,1)&amp;";"</f>
        <v>AI[7].isInvScale := 0;</v>
      </c>
      <c r="F27" s="237" t="str">
        <f>"AI["&amp;A27&amp;"].isCut := "&amp;IF(ai!V27="",0,1)&amp;"; "&amp;"AI["&amp;A27&amp;"].vCut := "&amp;IF(ai!V27="",0,ai!V27)&amp;"; "</f>
        <v xml:space="preserve">AI[7].isCut := 0; AI[7].vCut := 0; </v>
      </c>
      <c r="G27" s="237"/>
      <c r="H27" s="237" t="str">
        <f>"AI["&amp;A27&amp;"].ZL := "&amp;IF(ai!G27="",0,ai!G27)&amp;";"</f>
        <v>AI[7].ZL := 0;</v>
      </c>
      <c r="I27" s="237" t="str">
        <f>"AI["&amp;A27&amp;"].ZH := "&amp;IF(ai!H27="",0,ai!H27)&amp;";"</f>
        <v>AI[7].ZH := 100;</v>
      </c>
      <c r="J27" s="237" t="str">
        <f>"AI["&amp;$A27&amp;"]." &amp;J$3&amp;".EN :=" &amp;IF(ai!J27="",0,1)&amp;"; " &amp; "AI["&amp;$A27&amp;"]." &amp;J$3&amp;".V :=" &amp;IF(ai!J27="",0,ai!J27)&amp;"; "</f>
        <v xml:space="preserve">AI[7].RL.EN :=1; AI[7].RL.V :=20; </v>
      </c>
      <c r="K27" s="237" t="str">
        <f>"AI["&amp;$A27&amp;"]." &amp;K$3&amp;".EN :=" &amp;IF(ai!K27="",0,1)&amp;"; " &amp; "AI["&amp;$A27&amp;"]." &amp;K$3&amp;".V :=" &amp;IF(ai!K27="",0,ai!K27)&amp;"; "</f>
        <v xml:space="preserve">AI[7].RH.EN :=1; AI[7].RH.V :=80; </v>
      </c>
      <c r="L27" s="237" t="str">
        <f>"AI["&amp;$A27&amp;"]." &amp;L$3&amp;".EN :=" &amp;IF(ai!L27="",0,1)&amp;"; " &amp; "AI["&amp;$A27&amp;"]." &amp;L$3&amp;".V :=" &amp;IF(ai!L27="",0,ai!L27)&amp;"; "</f>
        <v xml:space="preserve">AI[7].L.EN :=1; AI[7].L.V :=0; </v>
      </c>
      <c r="M27" s="237" t="str">
        <f>"AI["&amp;$A27&amp;"]." &amp;M$3&amp;".EN :=" &amp;IF(ai!M27="",0,1)&amp;"; " &amp; "AI["&amp;$A27&amp;"]." &amp;M$3&amp;".V :=" &amp;IF(ai!M27="",0,ai!M27)&amp;"; "</f>
        <v xml:space="preserve">AI[7].H.EN :=1; AI[7].H.V :=0; </v>
      </c>
      <c r="N27" s="237" t="str">
        <f>"AI["&amp;$A27&amp;"]." &amp;N$3&amp;".EN :=" &amp;IF(ai!N27="",0,1)&amp;"; " &amp; "AI["&amp;$A27&amp;"]." &amp;N$3&amp;".V :=" &amp;IF(ai!N27="",0,ai!N27)&amp;"; "</f>
        <v xml:space="preserve">AI[7].LL.EN :=1; AI[7].LL.V :=0; </v>
      </c>
      <c r="O27" s="237" t="str">
        <f>"AI["&amp;$A27&amp;"]." &amp;O$3&amp;".EN :=" &amp;IF(ai!O27="",0,1)&amp;"; " &amp; "AI["&amp;$A27&amp;"]." &amp;O$3&amp;".V :=" &amp;IF(ai!O27="",0,ai!O27)&amp;"; "</f>
        <v xml:space="preserve">AI[7].HH.EN :=1; AI[7].HH.V :=0; </v>
      </c>
    </row>
    <row r="28" spans="1:15">
      <c r="A28" s="236">
        <f>ai!$D28</f>
        <v>8</v>
      </c>
      <c r="C28" s="237" t="str">
        <f>"AI["&amp;A28&amp;"].En := "&amp;IF(ai!E28="",0,1)&amp;";"</f>
        <v>AI[8].En := 1;</v>
      </c>
      <c r="D28" s="237" t="str">
        <f>"AI["&amp;A28&amp;"].Group := "&amp;IF(ai!T28="",0,ai!T28)&amp;";"</f>
        <v>AI[8].Group := 1;</v>
      </c>
      <c r="E28" s="237" t="str">
        <f>"AI["&amp;A28&amp;"].isInvScale := "&amp;IF(ai!U28="",0,1)&amp;";"</f>
        <v>AI[8].isInvScale := 0;</v>
      </c>
      <c r="F28" s="237" t="str">
        <f>"AI["&amp;A28&amp;"].isCut := "&amp;IF(ai!V28="",0,1)&amp;"; "&amp;"AI["&amp;A28&amp;"].vCut := "&amp;IF(ai!V28="",0,ai!V28)&amp;"; "</f>
        <v xml:space="preserve">AI[8].isCut := 0; AI[8].vCut := 0; </v>
      </c>
      <c r="G28" s="237"/>
      <c r="H28" s="237" t="str">
        <f>"AI["&amp;A28&amp;"].ZL := "&amp;IF(ai!G28="",0,ai!G28)&amp;";"</f>
        <v>AI[8].ZL := 0;</v>
      </c>
      <c r="I28" s="237" t="str">
        <f>"AI["&amp;A28&amp;"].ZH := "&amp;IF(ai!H28="",0,ai!H28)&amp;";"</f>
        <v>AI[8].ZH := 100;</v>
      </c>
      <c r="J28" s="237" t="str">
        <f>"AI["&amp;$A28&amp;"]." &amp;J$3&amp;".EN :=" &amp;IF(ai!J28="",0,1)&amp;"; " &amp; "AI["&amp;$A28&amp;"]." &amp;J$3&amp;".V :=" &amp;IF(ai!J28="",0,ai!J28)&amp;"; "</f>
        <v xml:space="preserve">AI[8].RL.EN :=1; AI[8].RL.V :=20; </v>
      </c>
      <c r="K28" s="237" t="str">
        <f>"AI["&amp;$A28&amp;"]." &amp;K$3&amp;".EN :=" &amp;IF(ai!K28="",0,1)&amp;"; " &amp; "AI["&amp;$A28&amp;"]." &amp;K$3&amp;".V :=" &amp;IF(ai!K28="",0,ai!K28)&amp;"; "</f>
        <v xml:space="preserve">AI[8].RH.EN :=1; AI[8].RH.V :=80; </v>
      </c>
      <c r="L28" s="237" t="str">
        <f>"AI["&amp;$A28&amp;"]." &amp;L$3&amp;".EN :=" &amp;IF(ai!L28="",0,1)&amp;"; " &amp; "AI["&amp;$A28&amp;"]." &amp;L$3&amp;".V :=" &amp;IF(ai!L28="",0,ai!L28)&amp;"; "</f>
        <v xml:space="preserve">AI[8].L.EN :=1; AI[8].L.V :=0; </v>
      </c>
      <c r="M28" s="237" t="str">
        <f>"AI["&amp;$A28&amp;"]." &amp;M$3&amp;".EN :=" &amp;IF(ai!M28="",0,1)&amp;"; " &amp; "AI["&amp;$A28&amp;"]." &amp;M$3&amp;".V :=" &amp;IF(ai!M28="",0,ai!M28)&amp;"; "</f>
        <v xml:space="preserve">AI[8].H.EN :=1; AI[8].H.V :=0; </v>
      </c>
      <c r="N28" s="237" t="str">
        <f>"AI["&amp;$A28&amp;"]." &amp;N$3&amp;".EN :=" &amp;IF(ai!N28="",0,1)&amp;"; " &amp; "AI["&amp;$A28&amp;"]." &amp;N$3&amp;".V :=" &amp;IF(ai!N28="",0,ai!N28)&amp;"; "</f>
        <v xml:space="preserve">AI[8].LL.EN :=1; AI[8].LL.V :=0; </v>
      </c>
      <c r="O28" s="237" t="str">
        <f>"AI["&amp;$A28&amp;"]." &amp;O$3&amp;".EN :=" &amp;IF(ai!O28="",0,1)&amp;"; " &amp; "AI["&amp;$A28&amp;"]." &amp;O$3&amp;".V :=" &amp;IF(ai!O28="",0,ai!O28)&amp;"; "</f>
        <v xml:space="preserve">AI[8].HH.EN :=1; AI[8].HH.V :=0; </v>
      </c>
    </row>
    <row r="29" spans="1:15">
      <c r="A29" s="236">
        <f>ai!$D29</f>
        <v>9</v>
      </c>
      <c r="C29" s="237" t="str">
        <f>"AI["&amp;A29&amp;"].En := "&amp;IF(ai!E29="",0,1)&amp;";"</f>
        <v>AI[9].En := 1;</v>
      </c>
      <c r="D29" s="237" t="str">
        <f>"AI["&amp;A29&amp;"].Group := "&amp;IF(ai!T29="",0,ai!T29)&amp;";"</f>
        <v>AI[9].Group := 1;</v>
      </c>
      <c r="E29" s="237" t="str">
        <f>"AI["&amp;A29&amp;"].isInvScale := "&amp;IF(ai!U29="",0,1)&amp;";"</f>
        <v>AI[9].isInvScale := 0;</v>
      </c>
      <c r="F29" s="237" t="str">
        <f>"AI["&amp;A29&amp;"].isCut := "&amp;IF(ai!V29="",0,1)&amp;"; "&amp;"AI["&amp;A29&amp;"].vCut := "&amp;IF(ai!V29="",0,ai!V29)&amp;"; "</f>
        <v xml:space="preserve">AI[9].isCut := 0; AI[9].vCut := 0; </v>
      </c>
      <c r="G29" s="237"/>
      <c r="H29" s="237" t="str">
        <f>"AI["&amp;A29&amp;"].ZL := "&amp;IF(ai!G29="",0,ai!G29)&amp;";"</f>
        <v>AI[9].ZL := 0;</v>
      </c>
      <c r="I29" s="237" t="str">
        <f>"AI["&amp;A29&amp;"].ZH := "&amp;IF(ai!H29="",0,ai!H29)&amp;";"</f>
        <v>AI[9].ZH := 300;</v>
      </c>
      <c r="J29" s="237" t="str">
        <f>"AI["&amp;$A29&amp;"]." &amp;J$3&amp;".EN :=" &amp;IF(ai!J29="",0,1)&amp;"; " &amp; "AI["&amp;$A29&amp;"]." &amp;J$3&amp;".V :=" &amp;IF(ai!J29="",0,ai!J29)&amp;"; "</f>
        <v xml:space="preserve">AI[9].RL.EN :=1; AI[9].RL.V :=160; </v>
      </c>
      <c r="K29" s="237" t="str">
        <f>"AI["&amp;$A29&amp;"]." &amp;K$3&amp;".EN :=" &amp;IF(ai!K29="",0,1)&amp;"; " &amp; "AI["&amp;$A29&amp;"]." &amp;K$3&amp;".V :=" &amp;IF(ai!K29="",0,ai!K29)&amp;"; "</f>
        <v xml:space="preserve">AI[9].RH.EN :=1; AI[9].RH.V :=170; </v>
      </c>
      <c r="L29" s="237" t="str">
        <f>"AI["&amp;$A29&amp;"]." &amp;L$3&amp;".EN :=" &amp;IF(ai!L29="",0,1)&amp;"; " &amp; "AI["&amp;$A29&amp;"]." &amp;L$3&amp;".V :=" &amp;IF(ai!L29="",0,ai!L29)&amp;"; "</f>
        <v xml:space="preserve">AI[9].L.EN :=1; AI[9].L.V :=0; </v>
      </c>
      <c r="M29" s="237" t="str">
        <f>"AI["&amp;$A29&amp;"]." &amp;M$3&amp;".EN :=" &amp;IF(ai!M29="",0,1)&amp;"; " &amp; "AI["&amp;$A29&amp;"]." &amp;M$3&amp;".V :=" &amp;IF(ai!M29="",0,ai!M29)&amp;"; "</f>
        <v xml:space="preserve">AI[9].H.EN :=1; AI[9].H.V :=0; </v>
      </c>
      <c r="N29" s="237" t="str">
        <f>"AI["&amp;$A29&amp;"]." &amp;N$3&amp;".EN :=" &amp;IF(ai!N29="",0,1)&amp;"; " &amp; "AI["&amp;$A29&amp;"]." &amp;N$3&amp;".V :=" &amp;IF(ai!N29="",0,ai!N29)&amp;"; "</f>
        <v xml:space="preserve">AI[9].LL.EN :=1; AI[9].LL.V :=0; </v>
      </c>
      <c r="O29" s="237" t="str">
        <f>"AI["&amp;$A29&amp;"]." &amp;O$3&amp;".EN :=" &amp;IF(ai!O29="",0,1)&amp;"; " &amp; "AI["&amp;$A29&amp;"]." &amp;O$3&amp;".V :=" &amp;IF(ai!O29="",0,ai!O29)&amp;"; "</f>
        <v xml:space="preserve">AI[9].HH.EN :=1; AI[9].HH.V :=0; </v>
      </c>
    </row>
    <row r="30" spans="1:15">
      <c r="A30" s="236">
        <f>ai!$D30</f>
        <v>10</v>
      </c>
      <c r="C30" s="237" t="str">
        <f>"AI["&amp;A30&amp;"].En := "&amp;IF(ai!E30="",0,1)&amp;";"</f>
        <v>AI[10].En := 1;</v>
      </c>
      <c r="D30" s="237" t="str">
        <f>"AI["&amp;A30&amp;"].Group := "&amp;IF(ai!T30="",0,ai!T30)&amp;";"</f>
        <v>AI[10].Group := 1;</v>
      </c>
      <c r="E30" s="237" t="str">
        <f>"AI["&amp;A30&amp;"].isInvScale := "&amp;IF(ai!U30="",0,1)&amp;";"</f>
        <v>AI[10].isInvScale := 0;</v>
      </c>
      <c r="F30" s="237" t="str">
        <f>"AI["&amp;A30&amp;"].isCut := "&amp;IF(ai!V30="",0,1)&amp;"; "&amp;"AI["&amp;A30&amp;"].vCut := "&amp;IF(ai!V30="",0,ai!V30)&amp;"; "</f>
        <v xml:space="preserve">AI[10].isCut := 0; AI[10].vCut := 0; </v>
      </c>
      <c r="G30" s="237"/>
      <c r="H30" s="237" t="str">
        <f>"AI["&amp;A30&amp;"].ZL := "&amp;IF(ai!G30="",0,ai!G30)&amp;";"</f>
        <v>AI[10].ZL := 0;</v>
      </c>
      <c r="I30" s="237" t="str">
        <f>"AI["&amp;A30&amp;"].ZH := "&amp;IF(ai!H30="",0,ai!H30)&amp;";"</f>
        <v>AI[10].ZH := 300;</v>
      </c>
      <c r="J30" s="237" t="str">
        <f>"AI["&amp;$A30&amp;"]." &amp;J$3&amp;".EN :=" &amp;IF(ai!J30="",0,1)&amp;"; " &amp; "AI["&amp;$A30&amp;"]." &amp;J$3&amp;".V :=" &amp;IF(ai!J30="",0,ai!J30)&amp;"; "</f>
        <v xml:space="preserve">AI[10].RL.EN :=1; AI[10].RL.V :=160; </v>
      </c>
      <c r="K30" s="237" t="str">
        <f>"AI["&amp;$A30&amp;"]." &amp;K$3&amp;".EN :=" &amp;IF(ai!K30="",0,1)&amp;"; " &amp; "AI["&amp;$A30&amp;"]." &amp;K$3&amp;".V :=" &amp;IF(ai!K30="",0,ai!K30)&amp;"; "</f>
        <v xml:space="preserve">AI[10].RH.EN :=1; AI[10].RH.V :=170; </v>
      </c>
      <c r="L30" s="237" t="str">
        <f>"AI["&amp;$A30&amp;"]." &amp;L$3&amp;".EN :=" &amp;IF(ai!L30="",0,1)&amp;"; " &amp; "AI["&amp;$A30&amp;"]." &amp;L$3&amp;".V :=" &amp;IF(ai!L30="",0,ai!L30)&amp;"; "</f>
        <v xml:space="preserve">AI[10].L.EN :=1; AI[10].L.V :=0; </v>
      </c>
      <c r="M30" s="237" t="str">
        <f>"AI["&amp;$A30&amp;"]." &amp;M$3&amp;".EN :=" &amp;IF(ai!M30="",0,1)&amp;"; " &amp; "AI["&amp;$A30&amp;"]." &amp;M$3&amp;".V :=" &amp;IF(ai!M30="",0,ai!M30)&amp;"; "</f>
        <v xml:space="preserve">AI[10].H.EN :=1; AI[10].H.V :=0; </v>
      </c>
      <c r="N30" s="237" t="str">
        <f>"AI["&amp;$A30&amp;"]." &amp;N$3&amp;".EN :=" &amp;IF(ai!N30="",0,1)&amp;"; " &amp; "AI["&amp;$A30&amp;"]." &amp;N$3&amp;".V :=" &amp;IF(ai!N30="",0,ai!N30)&amp;"; "</f>
        <v xml:space="preserve">AI[10].LL.EN :=1; AI[10].LL.V :=0; </v>
      </c>
      <c r="O30" s="237" t="str">
        <f>"AI["&amp;$A30&amp;"]." &amp;O$3&amp;".EN :=" &amp;IF(ai!O30="",0,1)&amp;"; " &amp; "AI["&amp;$A30&amp;"]." &amp;O$3&amp;".V :=" &amp;IF(ai!O30="",0,ai!O30)&amp;"; "</f>
        <v xml:space="preserve">AI[10].HH.EN :=1; AI[10].HH.V :=0; </v>
      </c>
    </row>
    <row r="31" spans="1:15">
      <c r="A31" s="236">
        <f>ai!$D31</f>
        <v>11</v>
      </c>
      <c r="C31" s="237" t="str">
        <f>"AI["&amp;A31&amp;"].En := "&amp;IF(ai!E31="",0,1)&amp;";"</f>
        <v>AI[11].En := 1;</v>
      </c>
      <c r="D31" s="237" t="str">
        <f>"AI["&amp;A31&amp;"].Group := "&amp;IF(ai!T31="",0,ai!T31)&amp;";"</f>
        <v>AI[11].Group := 1;</v>
      </c>
      <c r="E31" s="237" t="str">
        <f>"AI["&amp;A31&amp;"].isInvScale := "&amp;IF(ai!U31="",0,1)&amp;";"</f>
        <v>AI[11].isInvScale := 0;</v>
      </c>
      <c r="F31" s="237" t="str">
        <f>"AI["&amp;A31&amp;"].isCut := "&amp;IF(ai!V31="",0,1)&amp;"; "&amp;"AI["&amp;A31&amp;"].vCut := "&amp;IF(ai!V31="",0,ai!V31)&amp;"; "</f>
        <v xml:space="preserve">AI[11].isCut := 0; AI[11].vCut := 0; </v>
      </c>
      <c r="G31" s="237"/>
      <c r="H31" s="237" t="str">
        <f>"AI["&amp;A31&amp;"].ZL := "&amp;IF(ai!G31="",0,ai!G31)&amp;";"</f>
        <v>AI[11].ZL := 0;</v>
      </c>
      <c r="I31" s="237" t="str">
        <f>"AI["&amp;A31&amp;"].ZH := "&amp;IF(ai!H31="",0,ai!H31)&amp;";"</f>
        <v>AI[11].ZH := 300;</v>
      </c>
      <c r="J31" s="237" t="str">
        <f>"AI["&amp;$A31&amp;"]." &amp;J$3&amp;".EN :=" &amp;IF(ai!J31="",0,1)&amp;"; " &amp; "AI["&amp;$A31&amp;"]." &amp;J$3&amp;".V :=" &amp;IF(ai!J31="",0,ai!J31)&amp;"; "</f>
        <v xml:space="preserve">AI[11].RL.EN :=1; AI[11].RL.V :=160; </v>
      </c>
      <c r="K31" s="237" t="str">
        <f>"AI["&amp;$A31&amp;"]." &amp;K$3&amp;".EN :=" &amp;IF(ai!K31="",0,1)&amp;"; " &amp; "AI["&amp;$A31&amp;"]." &amp;K$3&amp;".V :=" &amp;IF(ai!K31="",0,ai!K31)&amp;"; "</f>
        <v xml:space="preserve">AI[11].RH.EN :=1; AI[11].RH.V :=170; </v>
      </c>
      <c r="L31" s="237" t="str">
        <f>"AI["&amp;$A31&amp;"]." &amp;L$3&amp;".EN :=" &amp;IF(ai!L31="",0,1)&amp;"; " &amp; "AI["&amp;$A31&amp;"]." &amp;L$3&amp;".V :=" &amp;IF(ai!L31="",0,ai!L31)&amp;"; "</f>
        <v xml:space="preserve">AI[11].L.EN :=1; AI[11].L.V :=0; </v>
      </c>
      <c r="M31" s="237" t="str">
        <f>"AI["&amp;$A31&amp;"]." &amp;M$3&amp;".EN :=" &amp;IF(ai!M31="",0,1)&amp;"; " &amp; "AI["&amp;$A31&amp;"]." &amp;M$3&amp;".V :=" &amp;IF(ai!M31="",0,ai!M31)&amp;"; "</f>
        <v xml:space="preserve">AI[11].H.EN :=1; AI[11].H.V :=0; </v>
      </c>
      <c r="N31" s="237" t="str">
        <f>"AI["&amp;$A31&amp;"]." &amp;N$3&amp;".EN :=" &amp;IF(ai!N31="",0,1)&amp;"; " &amp; "AI["&amp;$A31&amp;"]." &amp;N$3&amp;".V :=" &amp;IF(ai!N31="",0,ai!N31)&amp;"; "</f>
        <v xml:space="preserve">AI[11].LL.EN :=1; AI[11].LL.V :=0; </v>
      </c>
      <c r="O31" s="237" t="str">
        <f>"AI["&amp;$A31&amp;"]." &amp;O$3&amp;".EN :=" &amp;IF(ai!O31="",0,1)&amp;"; " &amp; "AI["&amp;$A31&amp;"]." &amp;O$3&amp;".V :=" &amp;IF(ai!O31="",0,ai!O31)&amp;"; "</f>
        <v xml:space="preserve">AI[11].HH.EN :=1; AI[11].HH.V :=0; </v>
      </c>
    </row>
    <row r="32" spans="1:15">
      <c r="A32" s="236">
        <f>ai!$D32</f>
        <v>12</v>
      </c>
      <c r="C32" s="237" t="str">
        <f>"AI["&amp;A32&amp;"].En := "&amp;IF(ai!E32="",0,1)&amp;";"</f>
        <v>AI[12].En := 1;</v>
      </c>
      <c r="D32" s="237" t="str">
        <f>"AI["&amp;A32&amp;"].Group := "&amp;IF(ai!T32="",0,ai!T32)&amp;";"</f>
        <v>AI[12].Group := 1;</v>
      </c>
      <c r="E32" s="237" t="str">
        <f>"AI["&amp;A32&amp;"].isInvScale := "&amp;IF(ai!U32="",0,1)&amp;";"</f>
        <v>AI[12].isInvScale := 0;</v>
      </c>
      <c r="F32" s="237" t="str">
        <f>"AI["&amp;A32&amp;"].isCut := "&amp;IF(ai!V32="",0,1)&amp;"; "&amp;"AI["&amp;A32&amp;"].vCut := "&amp;IF(ai!V32="",0,ai!V32)&amp;"; "</f>
        <v xml:space="preserve">AI[12].isCut := 0; AI[12].vCut := 0; </v>
      </c>
      <c r="G32" s="237"/>
      <c r="H32" s="237" t="str">
        <f>"AI["&amp;A32&amp;"].ZL := "&amp;IF(ai!G32="",0,ai!G32)&amp;";"</f>
        <v>AI[12].ZL := 0;</v>
      </c>
      <c r="I32" s="237" t="str">
        <f>"AI["&amp;A32&amp;"].ZH := "&amp;IF(ai!H32="",0,ai!H32)&amp;";"</f>
        <v>AI[12].ZH := 300;</v>
      </c>
      <c r="J32" s="237" t="str">
        <f>"AI["&amp;$A32&amp;"]." &amp;J$3&amp;".EN :=" &amp;IF(ai!J32="",0,1)&amp;"; " &amp; "AI["&amp;$A32&amp;"]." &amp;J$3&amp;".V :=" &amp;IF(ai!J32="",0,ai!J32)&amp;"; "</f>
        <v xml:space="preserve">AI[12].RL.EN :=1; AI[12].RL.V :=0; </v>
      </c>
      <c r="K32" s="237" t="str">
        <f>"AI["&amp;$A32&amp;"]." &amp;K$3&amp;".EN :=" &amp;IF(ai!K32="",0,1)&amp;"; " &amp; "AI["&amp;$A32&amp;"]." &amp;K$3&amp;".V :=" &amp;IF(ai!K32="",0,ai!K32)&amp;"; "</f>
        <v xml:space="preserve">AI[12].RH.EN :=1; AI[12].RH.V :=240; </v>
      </c>
      <c r="L32" s="237" t="str">
        <f>"AI["&amp;$A32&amp;"]." &amp;L$3&amp;".EN :=" &amp;IF(ai!L32="",0,1)&amp;"; " &amp; "AI["&amp;$A32&amp;"]." &amp;L$3&amp;".V :=" &amp;IF(ai!L32="",0,ai!L32)&amp;"; "</f>
        <v xml:space="preserve">AI[12].L.EN :=1; AI[12].L.V :=0; </v>
      </c>
      <c r="M32" s="237" t="str">
        <f>"AI["&amp;$A32&amp;"]." &amp;M$3&amp;".EN :=" &amp;IF(ai!M32="",0,1)&amp;"; " &amp; "AI["&amp;$A32&amp;"]." &amp;M$3&amp;".V :=" &amp;IF(ai!M32="",0,ai!M32)&amp;"; "</f>
        <v xml:space="preserve">AI[12].H.EN :=1; AI[12].H.V :=0; </v>
      </c>
      <c r="N32" s="237" t="str">
        <f>"AI["&amp;$A32&amp;"]." &amp;N$3&amp;".EN :=" &amp;IF(ai!N32="",0,1)&amp;"; " &amp; "AI["&amp;$A32&amp;"]." &amp;N$3&amp;".V :=" &amp;IF(ai!N32="",0,ai!N32)&amp;"; "</f>
        <v xml:space="preserve">AI[12].LL.EN :=1; AI[12].LL.V :=0; </v>
      </c>
      <c r="O32" s="237" t="str">
        <f>"AI["&amp;$A32&amp;"]." &amp;O$3&amp;".EN :=" &amp;IF(ai!O32="",0,1)&amp;"; " &amp; "AI["&amp;$A32&amp;"]." &amp;O$3&amp;".V :=" &amp;IF(ai!O32="",0,ai!O32)&amp;"; "</f>
        <v xml:space="preserve">AI[12].HH.EN :=1; AI[12].HH.V :=0; </v>
      </c>
    </row>
    <row r="33" spans="1:15">
      <c r="A33" s="236">
        <f>ai!$D33</f>
        <v>13</v>
      </c>
      <c r="C33" s="237" t="str">
        <f>"AI["&amp;A33&amp;"].En := "&amp;IF(ai!E33="",0,1)&amp;";"</f>
        <v>AI[13].En := 1;</v>
      </c>
      <c r="D33" s="237" t="str">
        <f>"AI["&amp;A33&amp;"].Group := "&amp;IF(ai!T33="",0,ai!T33)&amp;";"</f>
        <v>AI[13].Group := 3;</v>
      </c>
      <c r="E33" s="237" t="str">
        <f>"AI["&amp;A33&amp;"].isInvScale := "&amp;IF(ai!U33="",0,1)&amp;";"</f>
        <v>AI[13].isInvScale := 0;</v>
      </c>
      <c r="F33" s="237" t="str">
        <f>"AI["&amp;A33&amp;"].isCut := "&amp;IF(ai!V33="",0,1)&amp;"; "&amp;"AI["&amp;A33&amp;"].vCut := "&amp;IF(ai!V33="",0,ai!V33)&amp;"; "</f>
        <v xml:space="preserve">AI[13].isCut := 0; AI[13].vCut := 0; </v>
      </c>
      <c r="G33" s="237"/>
      <c r="H33" s="237" t="str">
        <f>"AI["&amp;A33&amp;"].ZL := "&amp;IF(ai!G33="",0,ai!G33)&amp;";"</f>
        <v>AI[13].ZL := 0;</v>
      </c>
      <c r="I33" s="237" t="str">
        <f>"AI["&amp;A33&amp;"].ZH := "&amp;IF(ai!H33="",0,ai!H33)&amp;";"</f>
        <v>AI[13].ZH := 0;</v>
      </c>
      <c r="J33" s="237" t="str">
        <f>"AI["&amp;$A33&amp;"]." &amp;J$3&amp;".EN :=" &amp;IF(ai!J33="",0,1)&amp;"; " &amp; "AI["&amp;$A33&amp;"]." &amp;J$3&amp;".V :=" &amp;IF(ai!J33="",0,ai!J33)&amp;"; "</f>
        <v xml:space="preserve">AI[13].RL.EN :=1; AI[13].RL.V :=250; </v>
      </c>
      <c r="K33" s="237" t="str">
        <f>"AI["&amp;$A33&amp;"]." &amp;K$3&amp;".EN :=" &amp;IF(ai!K33="",0,1)&amp;"; " &amp; "AI["&amp;$A33&amp;"]." &amp;K$3&amp;".V :=" &amp;IF(ai!K33="",0,ai!K33)&amp;"; "</f>
        <v xml:space="preserve">AI[13].RH.EN :=1; AI[13].RH.V :=450; </v>
      </c>
      <c r="L33" s="237" t="str">
        <f>"AI["&amp;$A33&amp;"]." &amp;L$3&amp;".EN :=" &amp;IF(ai!L33="",0,1)&amp;"; " &amp; "AI["&amp;$A33&amp;"]." &amp;L$3&amp;".V :=" &amp;IF(ai!L33="",0,ai!L33)&amp;"; "</f>
        <v xml:space="preserve">AI[13].L.EN :=1; AI[13].L.V :=0; </v>
      </c>
      <c r="M33" s="237" t="str">
        <f>"AI["&amp;$A33&amp;"]." &amp;M$3&amp;".EN :=" &amp;IF(ai!M33="",0,1)&amp;"; " &amp; "AI["&amp;$A33&amp;"]." &amp;M$3&amp;".V :=" &amp;IF(ai!M33="",0,ai!M33)&amp;"; "</f>
        <v xml:space="preserve">AI[13].H.EN :=1; AI[13].H.V :=0; </v>
      </c>
      <c r="N33" s="237" t="str">
        <f>"AI["&amp;$A33&amp;"]." &amp;N$3&amp;".EN :=" &amp;IF(ai!N33="",0,1)&amp;"; " &amp; "AI["&amp;$A33&amp;"]." &amp;N$3&amp;".V :=" &amp;IF(ai!N33="",0,ai!N33)&amp;"; "</f>
        <v xml:space="preserve">AI[13].LL.EN :=1; AI[13].LL.V :=0; </v>
      </c>
      <c r="O33" s="237" t="str">
        <f>"AI["&amp;$A33&amp;"]." &amp;O$3&amp;".EN :=" &amp;IF(ai!O33="",0,1)&amp;"; " &amp; "AI["&amp;$A33&amp;"]." &amp;O$3&amp;".V :=" &amp;IF(ai!O33="",0,ai!O33)&amp;"; "</f>
        <v xml:space="preserve">AI[13].HH.EN :=1; AI[13].HH.V :=0; </v>
      </c>
    </row>
    <row r="34" spans="1:15">
      <c r="A34" s="236">
        <f>ai!$D34</f>
        <v>14</v>
      </c>
      <c r="C34" s="237" t="str">
        <f>"AI["&amp;A34&amp;"].En := "&amp;IF(ai!E34="",0,1)&amp;";"</f>
        <v>AI[14].En := 1;</v>
      </c>
      <c r="D34" s="237" t="str">
        <f>"AI["&amp;A34&amp;"].Group := "&amp;IF(ai!T34="",0,ai!T34)&amp;";"</f>
        <v>AI[14].Group := 3;</v>
      </c>
      <c r="E34" s="237" t="str">
        <f>"AI["&amp;A34&amp;"].isInvScale := "&amp;IF(ai!U34="",0,1)&amp;";"</f>
        <v>AI[14].isInvScale := 0;</v>
      </c>
      <c r="F34" s="237" t="str">
        <f>"AI["&amp;A34&amp;"].isCut := "&amp;IF(ai!V34="",0,1)&amp;"; "&amp;"AI["&amp;A34&amp;"].vCut := "&amp;IF(ai!V34="",0,ai!V34)&amp;"; "</f>
        <v xml:space="preserve">AI[14].isCut := 0; AI[14].vCut := 0; </v>
      </c>
      <c r="G34" s="237"/>
      <c r="H34" s="237" t="str">
        <f>"AI["&amp;A34&amp;"].ZL := "&amp;IF(ai!G34="",0,ai!G34)&amp;";"</f>
        <v>AI[14].ZL := 0;</v>
      </c>
      <c r="I34" s="237" t="str">
        <f>"AI["&amp;A34&amp;"].ZH := "&amp;IF(ai!H34="",0,ai!H34)&amp;";"</f>
        <v>AI[14].ZH := 0;</v>
      </c>
      <c r="J34" s="237" t="str">
        <f>"AI["&amp;$A34&amp;"]." &amp;J$3&amp;".EN :=" &amp;IF(ai!J34="",0,1)&amp;"; " &amp; "AI["&amp;$A34&amp;"]." &amp;J$3&amp;".V :=" &amp;IF(ai!J34="",0,ai!J34)&amp;"; "</f>
        <v xml:space="preserve">AI[14].RL.EN :=1; AI[14].RL.V :=0; </v>
      </c>
      <c r="K34" s="237" t="str">
        <f>"AI["&amp;$A34&amp;"]." &amp;K$3&amp;".EN :=" &amp;IF(ai!K34="",0,1)&amp;"; " &amp; "AI["&amp;$A34&amp;"]." &amp;K$3&amp;".V :=" &amp;IF(ai!K34="",0,ai!K34)&amp;"; "</f>
        <v xml:space="preserve">AI[14].RH.EN :=1; AI[14].RH.V :=0; </v>
      </c>
      <c r="L34" s="237" t="str">
        <f>"AI["&amp;$A34&amp;"]." &amp;L$3&amp;".EN :=" &amp;IF(ai!L34="",0,1)&amp;"; " &amp; "AI["&amp;$A34&amp;"]." &amp;L$3&amp;".V :=" &amp;IF(ai!L34="",0,ai!L34)&amp;"; "</f>
        <v xml:space="preserve">AI[14].L.EN :=1; AI[14].L.V :=0; </v>
      </c>
      <c r="M34" s="237" t="str">
        <f>"AI["&amp;$A34&amp;"]." &amp;M$3&amp;".EN :=" &amp;IF(ai!M34="",0,1)&amp;"; " &amp; "AI["&amp;$A34&amp;"]." &amp;M$3&amp;".V :=" &amp;IF(ai!M34="",0,ai!M34)&amp;"; "</f>
        <v xml:space="preserve">AI[14].H.EN :=1; AI[14].H.V :=0; </v>
      </c>
      <c r="N34" s="237" t="str">
        <f>"AI["&amp;$A34&amp;"]." &amp;N$3&amp;".EN :=" &amp;IF(ai!N34="",0,1)&amp;"; " &amp; "AI["&amp;$A34&amp;"]." &amp;N$3&amp;".V :=" &amp;IF(ai!N34="",0,ai!N34)&amp;"; "</f>
        <v xml:space="preserve">AI[14].LL.EN :=1; AI[14].LL.V :=0; </v>
      </c>
      <c r="O34" s="237" t="str">
        <f>"AI["&amp;$A34&amp;"]." &amp;O$3&amp;".EN :=" &amp;IF(ai!O34="",0,1)&amp;"; " &amp; "AI["&amp;$A34&amp;"]." &amp;O$3&amp;".V :=" &amp;IF(ai!O34="",0,ai!O34)&amp;"; "</f>
        <v xml:space="preserve">AI[14].HH.EN :=1; AI[14].HH.V :=0; </v>
      </c>
    </row>
    <row r="35" spans="1:15">
      <c r="A35" s="236">
        <f>ai!$D35</f>
        <v>15</v>
      </c>
      <c r="C35" s="237" t="str">
        <f>"AI["&amp;A35&amp;"].En := "&amp;IF(ai!E35="",0,1)&amp;";"</f>
        <v>AI[15].En := 1;</v>
      </c>
      <c r="D35" s="237" t="str">
        <f>"AI["&amp;A35&amp;"].Group := "&amp;IF(ai!T35="",0,ai!T35)&amp;";"</f>
        <v>AI[15].Group := 3;</v>
      </c>
      <c r="E35" s="237" t="str">
        <f>"AI["&amp;A35&amp;"].isInvScale := "&amp;IF(ai!U35="",0,1)&amp;";"</f>
        <v>AI[15].isInvScale := 0;</v>
      </c>
      <c r="F35" s="237" t="str">
        <f>"AI["&amp;A35&amp;"].isCut := "&amp;IF(ai!V35="",0,1)&amp;"; "&amp;"AI["&amp;A35&amp;"].vCut := "&amp;IF(ai!V35="",0,ai!V35)&amp;"; "</f>
        <v xml:space="preserve">AI[15].isCut := 0; AI[15].vCut := 0; </v>
      </c>
      <c r="G35" s="237"/>
      <c r="H35" s="237" t="str">
        <f>"AI["&amp;A35&amp;"].ZL := "&amp;IF(ai!G35="",0,ai!G35)&amp;";"</f>
        <v>AI[15].ZL := 0;</v>
      </c>
      <c r="I35" s="237" t="str">
        <f>"AI["&amp;A35&amp;"].ZH := "&amp;IF(ai!H35="",0,ai!H35)&amp;";"</f>
        <v>AI[15].ZH := 0;</v>
      </c>
      <c r="J35" s="237" t="str">
        <f>"AI["&amp;$A35&amp;"]." &amp;J$3&amp;".EN :=" &amp;IF(ai!J35="",0,1)&amp;"; " &amp; "AI["&amp;$A35&amp;"]." &amp;J$3&amp;".V :=" &amp;IF(ai!J35="",0,ai!J35)&amp;"; "</f>
        <v xml:space="preserve">AI[15].RL.EN :=1; AI[15].RL.V :=0; </v>
      </c>
      <c r="K35" s="237" t="str">
        <f>"AI["&amp;$A35&amp;"]." &amp;K$3&amp;".EN :=" &amp;IF(ai!K35="",0,1)&amp;"; " &amp; "AI["&amp;$A35&amp;"]." &amp;K$3&amp;".V :=" &amp;IF(ai!K35="",0,ai!K35)&amp;"; "</f>
        <v xml:space="preserve">AI[15].RH.EN :=1; AI[15].RH.V :=0; </v>
      </c>
      <c r="L35" s="237" t="str">
        <f>"AI["&amp;$A35&amp;"]." &amp;L$3&amp;".EN :=" &amp;IF(ai!L35="",0,1)&amp;"; " &amp; "AI["&amp;$A35&amp;"]." &amp;L$3&amp;".V :=" &amp;IF(ai!L35="",0,ai!L35)&amp;"; "</f>
        <v xml:space="preserve">AI[15].L.EN :=1; AI[15].L.V :=0; </v>
      </c>
      <c r="M35" s="237" t="str">
        <f>"AI["&amp;$A35&amp;"]." &amp;M$3&amp;".EN :=" &amp;IF(ai!M35="",0,1)&amp;"; " &amp; "AI["&amp;$A35&amp;"]." &amp;M$3&amp;".V :=" &amp;IF(ai!M35="",0,ai!M35)&amp;"; "</f>
        <v xml:space="preserve">AI[15].H.EN :=1; AI[15].H.V :=0; </v>
      </c>
      <c r="N35" s="237" t="str">
        <f>"AI["&amp;$A35&amp;"]." &amp;N$3&amp;".EN :=" &amp;IF(ai!N35="",0,1)&amp;"; " &amp; "AI["&amp;$A35&amp;"]." &amp;N$3&amp;".V :=" &amp;IF(ai!N35="",0,ai!N35)&amp;"; "</f>
        <v xml:space="preserve">AI[15].LL.EN :=1; AI[15].LL.V :=0; </v>
      </c>
      <c r="O35" s="237" t="str">
        <f>"AI["&amp;$A35&amp;"]." &amp;O$3&amp;".EN :=" &amp;IF(ai!O35="",0,1)&amp;"; " &amp; "AI["&amp;$A35&amp;"]." &amp;O$3&amp;".V :=" &amp;IF(ai!O35="",0,ai!O35)&amp;"; "</f>
        <v xml:space="preserve">AI[15].HH.EN :=1; AI[15].HH.V :=0; </v>
      </c>
    </row>
    <row r="36" spans="1:15">
      <c r="A36" s="236">
        <f>ai!$D36</f>
        <v>0</v>
      </c>
      <c r="C36" s="237" t="str">
        <f>"AI["&amp;A36&amp;"].En := "&amp;IF(ai!E36="",0,1)&amp;";"</f>
        <v>AI[0].En := 1;</v>
      </c>
      <c r="D36" s="237" t="str">
        <f>"AI["&amp;A36&amp;"].Group := "&amp;IF(ai!T36="",0,ai!T36)&amp;";"</f>
        <v>AI[0].Group := 1;</v>
      </c>
      <c r="E36" s="237" t="str">
        <f>"AI["&amp;A36&amp;"].isInvScale := "&amp;IF(ai!U36="",0,1)&amp;";"</f>
        <v>AI[0].isInvScale := 0;</v>
      </c>
      <c r="F36" s="237" t="str">
        <f>"AI["&amp;A36&amp;"].isCut := "&amp;IF(ai!V36="",0,1)&amp;"; "&amp;"AI["&amp;A36&amp;"].vCut := "&amp;IF(ai!V36="",0,ai!V36)&amp;"; "</f>
        <v xml:space="preserve">AI[0].isCut := 0; AI[0].vCut := 0; </v>
      </c>
      <c r="G36" s="237"/>
      <c r="H36" s="237" t="str">
        <f>"AI["&amp;A36&amp;"].ZL := "&amp;IF(ai!G36="",0,ai!G36)&amp;";"</f>
        <v>AI[0].ZL := 0;</v>
      </c>
      <c r="I36" s="237" t="str">
        <f>"AI["&amp;A36&amp;"].ZH := "&amp;IF(ai!H36="",0,ai!H36)&amp;";"</f>
        <v>AI[0].ZH := 300;</v>
      </c>
      <c r="J36" s="237" t="str">
        <f>"AI["&amp;$A36&amp;"]." &amp;J$3&amp;".EN :=" &amp;IF(ai!J36="",0,1)&amp;"; " &amp; "AI["&amp;$A36&amp;"]." &amp;J$3&amp;".V :=" &amp;IF(ai!J36="",0,ai!J36)&amp;"; "</f>
        <v xml:space="preserve">AI[0].RL.EN :=1; AI[0].RL.V :=130; </v>
      </c>
      <c r="K36" s="237" t="str">
        <f>"AI["&amp;$A36&amp;"]." &amp;K$3&amp;".EN :=" &amp;IF(ai!K36="",0,1)&amp;"; " &amp; "AI["&amp;$A36&amp;"]." &amp;K$3&amp;".V :=" &amp;IF(ai!K36="",0,ai!K36)&amp;"; "</f>
        <v xml:space="preserve">AI[0].RH.EN :=1; AI[0].RH.V :=280; </v>
      </c>
      <c r="L36" s="237" t="str">
        <f>"AI["&amp;$A36&amp;"]." &amp;L$3&amp;".EN :=" &amp;IF(ai!L36="",0,1)&amp;"; " &amp; "AI["&amp;$A36&amp;"]." &amp;L$3&amp;".V :=" &amp;IF(ai!L36="",0,ai!L36)&amp;"; "</f>
        <v xml:space="preserve">AI[0].L.EN :=1; AI[0].L.V :=0; </v>
      </c>
      <c r="M36" s="237" t="str">
        <f>"AI["&amp;$A36&amp;"]." &amp;M$3&amp;".EN :=" &amp;IF(ai!M36="",0,1)&amp;"; " &amp; "AI["&amp;$A36&amp;"]." &amp;M$3&amp;".V :=" &amp;IF(ai!M36="",0,ai!M36)&amp;"; "</f>
        <v xml:space="preserve">AI[0].H.EN :=1; AI[0].H.V :=0; </v>
      </c>
      <c r="N36" s="237" t="str">
        <f>"AI["&amp;$A36&amp;"]." &amp;N$3&amp;".EN :=" &amp;IF(ai!N36="",0,1)&amp;"; " &amp; "AI["&amp;$A36&amp;"]." &amp;N$3&amp;".V :=" &amp;IF(ai!N36="",0,ai!N36)&amp;"; "</f>
        <v xml:space="preserve">AI[0].LL.EN :=1; AI[0].LL.V :=0; </v>
      </c>
      <c r="O36" s="237" t="str">
        <f>"AI["&amp;$A36&amp;"]." &amp;O$3&amp;".EN :=" &amp;IF(ai!O36="",0,1)&amp;"; " &amp; "AI["&amp;$A36&amp;"]." &amp;O$3&amp;".V :=" &amp;IF(ai!O36="",0,ai!O36)&amp;"; "</f>
        <v xml:space="preserve">AI[0].HH.EN :=1; AI[0].HH.V :=0; </v>
      </c>
    </row>
    <row r="37" spans="1:15">
      <c r="A37" s="236">
        <f>ai!$D37</f>
        <v>1</v>
      </c>
      <c r="C37" s="237" t="str">
        <f>"AI["&amp;A37&amp;"].En := "&amp;IF(ai!E37="",0,1)&amp;";"</f>
        <v>AI[1].En := 1;</v>
      </c>
      <c r="D37" s="237" t="str">
        <f>"AI["&amp;A37&amp;"].Group := "&amp;IF(ai!T37="",0,ai!T37)&amp;";"</f>
        <v>AI[1].Group := 1;</v>
      </c>
      <c r="E37" s="237" t="str">
        <f>"AI["&amp;A37&amp;"].isInvScale := "&amp;IF(ai!U37="",0,1)&amp;";"</f>
        <v>AI[1].isInvScale := 0;</v>
      </c>
      <c r="F37" s="237" t="str">
        <f>"AI["&amp;A37&amp;"].isCut := "&amp;IF(ai!V37="",0,1)&amp;"; "&amp;"AI["&amp;A37&amp;"].vCut := "&amp;IF(ai!V37="",0,ai!V37)&amp;"; "</f>
        <v xml:space="preserve">AI[1].isCut := 0; AI[1].vCut := 0; </v>
      </c>
      <c r="G37" s="237"/>
      <c r="H37" s="237" t="str">
        <f>"AI["&amp;A37&amp;"].ZL := "&amp;IF(ai!G37="",0,ai!G37)&amp;";"</f>
        <v>AI[1].ZL := 0;</v>
      </c>
      <c r="I37" s="237" t="str">
        <f>"AI["&amp;A37&amp;"].ZH := "&amp;IF(ai!H37="",0,ai!H37)&amp;";"</f>
        <v>AI[1].ZH := 300;</v>
      </c>
      <c r="J37" s="237" t="str">
        <f>"AI["&amp;$A37&amp;"]." &amp;J$3&amp;".EN :=" &amp;IF(ai!J37="",0,1)&amp;"; " &amp; "AI["&amp;$A37&amp;"]." &amp;J$3&amp;".V :=" &amp;IF(ai!J37="",0,ai!J37)&amp;"; "</f>
        <v xml:space="preserve">AI[1].RL.EN :=1; AI[1].RL.V :=130; </v>
      </c>
      <c r="K37" s="237" t="str">
        <f>"AI["&amp;$A37&amp;"]." &amp;K$3&amp;".EN :=" &amp;IF(ai!K37="",0,1)&amp;"; " &amp; "AI["&amp;$A37&amp;"]." &amp;K$3&amp;".V :=" &amp;IF(ai!K37="",0,ai!K37)&amp;"; "</f>
        <v xml:space="preserve">AI[1].RH.EN :=1; AI[1].RH.V :=270; </v>
      </c>
      <c r="L37" s="237" t="str">
        <f>"AI["&amp;$A37&amp;"]." &amp;L$3&amp;".EN :=" &amp;IF(ai!L37="",0,1)&amp;"; " &amp; "AI["&amp;$A37&amp;"]." &amp;L$3&amp;".V :=" &amp;IF(ai!L37="",0,ai!L37)&amp;"; "</f>
        <v xml:space="preserve">AI[1].L.EN :=1; AI[1].L.V :=0; </v>
      </c>
      <c r="M37" s="237" t="str">
        <f>"AI["&amp;$A37&amp;"]." &amp;M$3&amp;".EN :=" &amp;IF(ai!M37="",0,1)&amp;"; " &amp; "AI["&amp;$A37&amp;"]." &amp;M$3&amp;".V :=" &amp;IF(ai!M37="",0,ai!M37)&amp;"; "</f>
        <v xml:space="preserve">AI[1].H.EN :=1; AI[1].H.V :=0; </v>
      </c>
      <c r="N37" s="237" t="str">
        <f>"AI["&amp;$A37&amp;"]." &amp;N$3&amp;".EN :=" &amp;IF(ai!N37="",0,1)&amp;"; " &amp; "AI["&amp;$A37&amp;"]." &amp;N$3&amp;".V :=" &amp;IF(ai!N37="",0,ai!N37)&amp;"; "</f>
        <v xml:space="preserve">AI[1].LL.EN :=1; AI[1].LL.V :=0; </v>
      </c>
      <c r="O37" s="237" t="str">
        <f>"AI["&amp;$A37&amp;"]." &amp;O$3&amp;".EN :=" &amp;IF(ai!O37="",0,1)&amp;"; " &amp; "AI["&amp;$A37&amp;"]." &amp;O$3&amp;".V :=" &amp;IF(ai!O37="",0,ai!O37)&amp;"; "</f>
        <v xml:space="preserve">AI[1].HH.EN :=1; AI[1].HH.V :=0; </v>
      </c>
    </row>
    <row r="38" spans="1:15">
      <c r="A38" s="236">
        <f>ai!$D38</f>
        <v>2</v>
      </c>
      <c r="C38" s="237" t="str">
        <f>"AI["&amp;A38&amp;"].En := "&amp;IF(ai!E38="",0,1)&amp;";"</f>
        <v>AI[2].En := 1;</v>
      </c>
      <c r="D38" s="237" t="str">
        <f>"AI["&amp;A38&amp;"].Group := "&amp;IF(ai!T38="",0,ai!T38)&amp;";"</f>
        <v>AI[2].Group := 1;</v>
      </c>
      <c r="E38" s="237" t="str">
        <f>"AI["&amp;A38&amp;"].isInvScale := "&amp;IF(ai!U38="",0,1)&amp;";"</f>
        <v>AI[2].isInvScale := 0;</v>
      </c>
      <c r="F38" s="237" t="str">
        <f>"AI["&amp;A38&amp;"].isCut := "&amp;IF(ai!V38="",0,1)&amp;"; "&amp;"AI["&amp;A38&amp;"].vCut := "&amp;IF(ai!V38="",0,ai!V38)&amp;"; "</f>
        <v xml:space="preserve">AI[2].isCut := 0; AI[2].vCut := 0; </v>
      </c>
      <c r="G38" s="237"/>
      <c r="H38" s="237" t="str">
        <f>"AI["&amp;A38&amp;"].ZL := "&amp;IF(ai!G38="",0,ai!G38)&amp;";"</f>
        <v>AI[2].ZL := 0;</v>
      </c>
      <c r="I38" s="237" t="str">
        <f>"AI["&amp;A38&amp;"].ZH := "&amp;IF(ai!H38="",0,ai!H38)&amp;";"</f>
        <v>AI[2].ZH := 300;</v>
      </c>
      <c r="J38" s="237" t="str">
        <f>"AI["&amp;$A38&amp;"]." &amp;J$3&amp;".EN :=" &amp;IF(ai!J38="",0,1)&amp;"; " &amp; "AI["&amp;$A38&amp;"]." &amp;J$3&amp;".V :=" &amp;IF(ai!J38="",0,ai!J38)&amp;"; "</f>
        <v xml:space="preserve">AI[2].RL.EN :=1; AI[2].RL.V :=130; </v>
      </c>
      <c r="K38" s="237" t="str">
        <f>"AI["&amp;$A38&amp;"]." &amp;K$3&amp;".EN :=" &amp;IF(ai!K38="",0,1)&amp;"; " &amp; "AI["&amp;$A38&amp;"]." &amp;K$3&amp;".V :=" &amp;IF(ai!K38="",0,ai!K38)&amp;"; "</f>
        <v xml:space="preserve">AI[2].RH.EN :=1; AI[2].RH.V :=270; </v>
      </c>
      <c r="L38" s="237" t="str">
        <f>"AI["&amp;$A38&amp;"]." &amp;L$3&amp;".EN :=" &amp;IF(ai!L38="",0,1)&amp;"; " &amp; "AI["&amp;$A38&amp;"]." &amp;L$3&amp;".V :=" &amp;IF(ai!L38="",0,ai!L38)&amp;"; "</f>
        <v xml:space="preserve">AI[2].L.EN :=1; AI[2].L.V :=0; </v>
      </c>
      <c r="M38" s="237" t="str">
        <f>"AI["&amp;$A38&amp;"]." &amp;M$3&amp;".EN :=" &amp;IF(ai!M38="",0,1)&amp;"; " &amp; "AI["&amp;$A38&amp;"]." &amp;M$3&amp;".V :=" &amp;IF(ai!M38="",0,ai!M38)&amp;"; "</f>
        <v xml:space="preserve">AI[2].H.EN :=1; AI[2].H.V :=0; </v>
      </c>
      <c r="N38" s="237" t="str">
        <f>"AI["&amp;$A38&amp;"]." &amp;N$3&amp;".EN :=" &amp;IF(ai!N38="",0,1)&amp;"; " &amp; "AI["&amp;$A38&amp;"]." &amp;N$3&amp;".V :=" &amp;IF(ai!N38="",0,ai!N38)&amp;"; "</f>
        <v xml:space="preserve">AI[2].LL.EN :=1; AI[2].LL.V :=0; </v>
      </c>
      <c r="O38" s="237" t="str">
        <f>"AI["&amp;$A38&amp;"]." &amp;O$3&amp;".EN :=" &amp;IF(ai!O38="",0,1)&amp;"; " &amp; "AI["&amp;$A38&amp;"]." &amp;O$3&amp;".V :=" &amp;IF(ai!O38="",0,ai!O38)&amp;"; "</f>
        <v xml:space="preserve">AI[2].HH.EN :=1; AI[2].HH.V :=0; </v>
      </c>
    </row>
    <row r="39" spans="1:15">
      <c r="A39" s="236">
        <f>ai!$D39</f>
        <v>3</v>
      </c>
      <c r="C39" s="237" t="str">
        <f>"AI["&amp;A39&amp;"].En := "&amp;IF(ai!E39="",0,1)&amp;";"</f>
        <v>AI[3].En := 1;</v>
      </c>
      <c r="D39" s="237" t="str">
        <f>"AI["&amp;A39&amp;"].Group := "&amp;IF(ai!T39="",0,ai!T39)&amp;";"</f>
        <v>AI[3].Group := 1;</v>
      </c>
      <c r="E39" s="237" t="str">
        <f>"AI["&amp;A39&amp;"].isInvScale := "&amp;IF(ai!U39="",0,1)&amp;";"</f>
        <v>AI[3].isInvScale := 0;</v>
      </c>
      <c r="F39" s="237" t="str">
        <f>"AI["&amp;A39&amp;"].isCut := "&amp;IF(ai!V39="",0,1)&amp;"; "&amp;"AI["&amp;A39&amp;"].vCut := "&amp;IF(ai!V39="",0,ai!V39)&amp;"; "</f>
        <v xml:space="preserve">AI[3].isCut := 0; AI[3].vCut := 0; </v>
      </c>
      <c r="G39" s="237"/>
      <c r="H39" s="237" t="str">
        <f>"AI["&amp;A39&amp;"].ZL := "&amp;IF(ai!G39="",0,ai!G39)&amp;";"</f>
        <v>AI[3].ZL := 0;</v>
      </c>
      <c r="I39" s="237" t="str">
        <f>"AI["&amp;A39&amp;"].ZH := "&amp;IF(ai!H39="",0,ai!H39)&amp;";"</f>
        <v>AI[3].ZH := 300;</v>
      </c>
      <c r="J39" s="237" t="str">
        <f>"AI["&amp;$A39&amp;"]." &amp;J$3&amp;".EN :=" &amp;IF(ai!J39="",0,1)&amp;"; " &amp; "AI["&amp;$A39&amp;"]." &amp;J$3&amp;".V :=" &amp;IF(ai!J39="",0,ai!J39)&amp;"; "</f>
        <v xml:space="preserve">AI[3].RL.EN :=1; AI[3].RL.V :=40; </v>
      </c>
      <c r="K39" s="237" t="str">
        <f>"AI["&amp;$A39&amp;"]." &amp;K$3&amp;".EN :=" &amp;IF(ai!K39="",0,1)&amp;"; " &amp; "AI["&amp;$A39&amp;"]." &amp;K$3&amp;".V :=" &amp;IF(ai!K39="",0,ai!K39)&amp;"; "</f>
        <v xml:space="preserve">AI[3].RH.EN :=1; AI[3].RH.V :=160; </v>
      </c>
      <c r="L39" s="237" t="str">
        <f>"AI["&amp;$A39&amp;"]." &amp;L$3&amp;".EN :=" &amp;IF(ai!L39="",0,1)&amp;"; " &amp; "AI["&amp;$A39&amp;"]." &amp;L$3&amp;".V :=" &amp;IF(ai!L39="",0,ai!L39)&amp;"; "</f>
        <v xml:space="preserve">AI[3].L.EN :=1; AI[3].L.V :=0; </v>
      </c>
      <c r="M39" s="237" t="str">
        <f>"AI["&amp;$A39&amp;"]." &amp;M$3&amp;".EN :=" &amp;IF(ai!M39="",0,1)&amp;"; " &amp; "AI["&amp;$A39&amp;"]." &amp;M$3&amp;".V :=" &amp;IF(ai!M39="",0,ai!M39)&amp;"; "</f>
        <v xml:space="preserve">AI[3].H.EN :=1; AI[3].H.V :=0; </v>
      </c>
      <c r="N39" s="237" t="str">
        <f>"AI["&amp;$A39&amp;"]." &amp;N$3&amp;".EN :=" &amp;IF(ai!N39="",0,1)&amp;"; " &amp; "AI["&amp;$A39&amp;"]." &amp;N$3&amp;".V :=" &amp;IF(ai!N39="",0,ai!N39)&amp;"; "</f>
        <v xml:space="preserve">AI[3].LL.EN :=1; AI[3].LL.V :=0; </v>
      </c>
      <c r="O39" s="237" t="str">
        <f>"AI["&amp;$A39&amp;"]." &amp;O$3&amp;".EN :=" &amp;IF(ai!O39="",0,1)&amp;"; " &amp; "AI["&amp;$A39&amp;"]." &amp;O$3&amp;".V :=" &amp;IF(ai!O39="",0,ai!O39)&amp;"; "</f>
        <v xml:space="preserve">AI[3].HH.EN :=1; AI[3].HH.V :=0; </v>
      </c>
    </row>
    <row r="40" spans="1:15">
      <c r="A40" s="236">
        <f>ai!$D40</f>
        <v>4</v>
      </c>
      <c r="C40" s="237" t="str">
        <f>"AI["&amp;A40&amp;"].En := "&amp;IF(ai!E40="",0,1)&amp;";"</f>
        <v>AI[4].En := 1;</v>
      </c>
      <c r="D40" s="237" t="str">
        <f>"AI["&amp;A40&amp;"].Group := "&amp;IF(ai!T40="",0,ai!T40)&amp;";"</f>
        <v>AI[4].Group := 1;</v>
      </c>
      <c r="E40" s="237" t="str">
        <f>"AI["&amp;A40&amp;"].isInvScale := "&amp;IF(ai!U40="",0,1)&amp;";"</f>
        <v>AI[4].isInvScale := 0;</v>
      </c>
      <c r="F40" s="237" t="str">
        <f>"AI["&amp;A40&amp;"].isCut := "&amp;IF(ai!V40="",0,1)&amp;"; "&amp;"AI["&amp;A40&amp;"].vCut := "&amp;IF(ai!V40="",0,ai!V40)&amp;"; "</f>
        <v xml:space="preserve">AI[4].isCut := 0; AI[4].vCut := 0; </v>
      </c>
      <c r="G40" s="237"/>
      <c r="H40" s="237" t="str">
        <f>"AI["&amp;A40&amp;"].ZL := "&amp;IF(ai!G40="",0,ai!G40)&amp;";"</f>
        <v>AI[4].ZL := 0;</v>
      </c>
      <c r="I40" s="237" t="str">
        <f>"AI["&amp;A40&amp;"].ZH := "&amp;IF(ai!H40="",0,ai!H40)&amp;";"</f>
        <v>AI[4].ZH := 300;</v>
      </c>
      <c r="J40" s="237" t="str">
        <f>"AI["&amp;$A40&amp;"]." &amp;J$3&amp;".EN :=" &amp;IF(ai!J40="",0,1)&amp;"; " &amp; "AI["&amp;$A40&amp;"]." &amp;J$3&amp;".V :=" &amp;IF(ai!J40="",0,ai!J40)&amp;"; "</f>
        <v xml:space="preserve">AI[4].RL.EN :=1; AI[4].RL.V :=40; </v>
      </c>
      <c r="K40" s="237" t="str">
        <f>"AI["&amp;$A40&amp;"]." &amp;K$3&amp;".EN :=" &amp;IF(ai!K40="",0,1)&amp;"; " &amp; "AI["&amp;$A40&amp;"]." &amp;K$3&amp;".V :=" &amp;IF(ai!K40="",0,ai!K40)&amp;"; "</f>
        <v xml:space="preserve">AI[4].RH.EN :=1; AI[4].RH.V :=160; </v>
      </c>
      <c r="L40" s="237" t="str">
        <f>"AI["&amp;$A40&amp;"]." &amp;L$3&amp;".EN :=" &amp;IF(ai!L40="",0,1)&amp;"; " &amp; "AI["&amp;$A40&amp;"]." &amp;L$3&amp;".V :=" &amp;IF(ai!L40="",0,ai!L40)&amp;"; "</f>
        <v xml:space="preserve">AI[4].L.EN :=1; AI[4].L.V :=0; </v>
      </c>
      <c r="M40" s="237" t="str">
        <f>"AI["&amp;$A40&amp;"]." &amp;M$3&amp;".EN :=" &amp;IF(ai!M40="",0,1)&amp;"; " &amp; "AI["&amp;$A40&amp;"]." &amp;M$3&amp;".V :=" &amp;IF(ai!M40="",0,ai!M40)&amp;"; "</f>
        <v xml:space="preserve">AI[4].H.EN :=1; AI[4].H.V :=0; </v>
      </c>
      <c r="N40" s="237" t="str">
        <f>"AI["&amp;$A40&amp;"]." &amp;N$3&amp;".EN :=" &amp;IF(ai!N40="",0,1)&amp;"; " &amp; "AI["&amp;$A40&amp;"]." &amp;N$3&amp;".V :=" &amp;IF(ai!N40="",0,ai!N40)&amp;"; "</f>
        <v xml:space="preserve">AI[4].LL.EN :=1; AI[4].LL.V :=0; </v>
      </c>
      <c r="O40" s="237" t="str">
        <f>"AI["&amp;$A40&amp;"]." &amp;O$3&amp;".EN :=" &amp;IF(ai!O40="",0,1)&amp;"; " &amp; "AI["&amp;$A40&amp;"]." &amp;O$3&amp;".V :=" &amp;IF(ai!O40="",0,ai!O40)&amp;"; "</f>
        <v xml:space="preserve">AI[4].HH.EN :=1; AI[4].HH.V :=0; </v>
      </c>
    </row>
    <row r="41" spans="1:15">
      <c r="A41" s="236">
        <f>ai!$D41</f>
        <v>5</v>
      </c>
      <c r="C41" s="237" t="str">
        <f>"AI["&amp;A41&amp;"].En := "&amp;IF(ai!E41="",0,1)&amp;";"</f>
        <v>AI[5].En := 1;</v>
      </c>
      <c r="D41" s="237" t="str">
        <f>"AI["&amp;A41&amp;"].Group := "&amp;IF(ai!T41="",0,ai!T41)&amp;";"</f>
        <v>AI[5].Group := 1;</v>
      </c>
      <c r="E41" s="237" t="str">
        <f>"AI["&amp;A41&amp;"].isInvScale := "&amp;IF(ai!U41="",0,1)&amp;";"</f>
        <v>AI[5].isInvScale := 0;</v>
      </c>
      <c r="F41" s="237" t="str">
        <f>"AI["&amp;A41&amp;"].isCut := "&amp;IF(ai!V41="",0,1)&amp;"; "&amp;"AI["&amp;A41&amp;"].vCut := "&amp;IF(ai!V41="",0,ai!V41)&amp;"; "</f>
        <v xml:space="preserve">AI[5].isCut := 0; AI[5].vCut := 0; </v>
      </c>
      <c r="G41" s="237"/>
      <c r="H41" s="237" t="str">
        <f>"AI["&amp;A41&amp;"].ZL := "&amp;IF(ai!G41="",0,ai!G41)&amp;";"</f>
        <v>AI[5].ZL := 0;</v>
      </c>
      <c r="I41" s="237" t="str">
        <f>"AI["&amp;A41&amp;"].ZH := "&amp;IF(ai!H41="",0,ai!H41)&amp;";"</f>
        <v>AI[5].ZH := 300;</v>
      </c>
      <c r="J41" s="237" t="str">
        <f>"AI["&amp;$A41&amp;"]." &amp;J$3&amp;".EN :=" &amp;IF(ai!J41="",0,1)&amp;"; " &amp; "AI["&amp;$A41&amp;"]." &amp;J$3&amp;".V :=" &amp;IF(ai!J41="",0,ai!J41)&amp;"; "</f>
        <v xml:space="preserve">AI[5].RL.EN :=1; AI[5].RL.V :=40; </v>
      </c>
      <c r="K41" s="237" t="str">
        <f>"AI["&amp;$A41&amp;"]." &amp;K$3&amp;".EN :=" &amp;IF(ai!K41="",0,1)&amp;"; " &amp; "AI["&amp;$A41&amp;"]." &amp;K$3&amp;".V :=" &amp;IF(ai!K41="",0,ai!K41)&amp;"; "</f>
        <v xml:space="preserve">AI[5].RH.EN :=1; AI[5].RH.V :=160; </v>
      </c>
      <c r="L41" s="237" t="str">
        <f>"AI["&amp;$A41&amp;"]." &amp;L$3&amp;".EN :=" &amp;IF(ai!L41="",0,1)&amp;"; " &amp; "AI["&amp;$A41&amp;"]." &amp;L$3&amp;".V :=" &amp;IF(ai!L41="",0,ai!L41)&amp;"; "</f>
        <v xml:space="preserve">AI[5].L.EN :=1; AI[5].L.V :=0; </v>
      </c>
      <c r="M41" s="237" t="str">
        <f>"AI["&amp;$A41&amp;"]." &amp;M$3&amp;".EN :=" &amp;IF(ai!M41="",0,1)&amp;"; " &amp; "AI["&amp;$A41&amp;"]." &amp;M$3&amp;".V :=" &amp;IF(ai!M41="",0,ai!M41)&amp;"; "</f>
        <v xml:space="preserve">AI[5].H.EN :=1; AI[5].H.V :=0; </v>
      </c>
      <c r="N41" s="237" t="str">
        <f>"AI["&amp;$A41&amp;"]." &amp;N$3&amp;".EN :=" &amp;IF(ai!N41="",0,1)&amp;"; " &amp; "AI["&amp;$A41&amp;"]." &amp;N$3&amp;".V :=" &amp;IF(ai!N41="",0,ai!N41)&amp;"; "</f>
        <v xml:space="preserve">AI[5].LL.EN :=1; AI[5].LL.V :=0; </v>
      </c>
      <c r="O41" s="237" t="str">
        <f>"AI["&amp;$A41&amp;"]." &amp;O$3&amp;".EN :=" &amp;IF(ai!O41="",0,1)&amp;"; " &amp; "AI["&amp;$A41&amp;"]." &amp;O$3&amp;".V :=" &amp;IF(ai!O41="",0,ai!O41)&amp;"; "</f>
        <v xml:space="preserve">AI[5].HH.EN :=1; AI[5].HH.V :=0; </v>
      </c>
    </row>
    <row r="42" spans="1:15">
      <c r="A42" s="236">
        <f>ai!$D42</f>
        <v>6</v>
      </c>
      <c r="C42" s="237" t="str">
        <f>"AI["&amp;A42&amp;"].En := "&amp;IF(ai!E42="",0,1)&amp;";"</f>
        <v>AI[6].En := 1;</v>
      </c>
      <c r="D42" s="237" t="str">
        <f>"AI["&amp;A42&amp;"].Group := "&amp;IF(ai!T42="",0,ai!T42)&amp;";"</f>
        <v>AI[6].Group := 1;</v>
      </c>
      <c r="E42" s="237" t="str">
        <f>"AI["&amp;A42&amp;"].isInvScale := "&amp;IF(ai!U42="",0,1)&amp;";"</f>
        <v>AI[6].isInvScale := 0;</v>
      </c>
      <c r="F42" s="237" t="str">
        <f>"AI["&amp;A42&amp;"].isCut := "&amp;IF(ai!V42="",0,1)&amp;"; "&amp;"AI["&amp;A42&amp;"].vCut := "&amp;IF(ai!V42="",0,ai!V42)&amp;"; "</f>
        <v xml:space="preserve">AI[6].isCut := 0; AI[6].vCut := 0; </v>
      </c>
      <c r="G42" s="237"/>
      <c r="H42" s="237" t="str">
        <f>"AI["&amp;A42&amp;"].ZL := "&amp;IF(ai!G42="",0,ai!G42)&amp;";"</f>
        <v>AI[6].ZL := 0;</v>
      </c>
      <c r="I42" s="237" t="str">
        <f>"AI["&amp;A42&amp;"].ZH := "&amp;IF(ai!H42="",0,ai!H42)&amp;";"</f>
        <v>AI[6].ZH := 300;</v>
      </c>
      <c r="J42" s="237" t="str">
        <f>"AI["&amp;$A42&amp;"]." &amp;J$3&amp;".EN :=" &amp;IF(ai!J42="",0,1)&amp;"; " &amp; "AI["&amp;$A42&amp;"]." &amp;J$3&amp;".V :=" &amp;IF(ai!J42="",0,ai!J42)&amp;"; "</f>
        <v xml:space="preserve">AI[6].RL.EN :=1; AI[6].RL.V :=130; </v>
      </c>
      <c r="K42" s="237" t="str">
        <f>"AI["&amp;$A42&amp;"]." &amp;K$3&amp;".EN :=" &amp;IF(ai!K42="",0,1)&amp;"; " &amp; "AI["&amp;$A42&amp;"]." &amp;K$3&amp;".V :=" &amp;IF(ai!K42="",0,ai!K42)&amp;"; "</f>
        <v xml:space="preserve">AI[6].RH.EN :=1; AI[6].RH.V :=250; </v>
      </c>
      <c r="L42" s="237" t="str">
        <f>"AI["&amp;$A42&amp;"]." &amp;L$3&amp;".EN :=" &amp;IF(ai!L42="",0,1)&amp;"; " &amp; "AI["&amp;$A42&amp;"]." &amp;L$3&amp;".V :=" &amp;IF(ai!L42="",0,ai!L42)&amp;"; "</f>
        <v xml:space="preserve">AI[6].L.EN :=1; AI[6].L.V :=0; </v>
      </c>
      <c r="M42" s="237" t="str">
        <f>"AI["&amp;$A42&amp;"]." &amp;M$3&amp;".EN :=" &amp;IF(ai!M42="",0,1)&amp;"; " &amp; "AI["&amp;$A42&amp;"]." &amp;M$3&amp;".V :=" &amp;IF(ai!M42="",0,ai!M42)&amp;"; "</f>
        <v xml:space="preserve">AI[6].H.EN :=1; AI[6].H.V :=0; </v>
      </c>
      <c r="N42" s="237" t="str">
        <f>"AI["&amp;$A42&amp;"]." &amp;N$3&amp;".EN :=" &amp;IF(ai!N42="",0,1)&amp;"; " &amp; "AI["&amp;$A42&amp;"]." &amp;N$3&amp;".V :=" &amp;IF(ai!N42="",0,ai!N42)&amp;"; "</f>
        <v xml:space="preserve">AI[6].LL.EN :=1; AI[6].LL.V :=0; </v>
      </c>
      <c r="O42" s="237" t="str">
        <f>"AI["&amp;$A42&amp;"]." &amp;O$3&amp;".EN :=" &amp;IF(ai!O42="",0,1)&amp;"; " &amp; "AI["&amp;$A42&amp;"]." &amp;O$3&amp;".V :=" &amp;IF(ai!O42="",0,ai!O42)&amp;"; "</f>
        <v xml:space="preserve">AI[6].HH.EN :=1; AI[6].HH.V :=0; </v>
      </c>
    </row>
    <row r="43" spans="1:15">
      <c r="A43" s="236">
        <f>ai!$D43</f>
        <v>7</v>
      </c>
      <c r="C43" s="237" t="str">
        <f>"AI["&amp;A43&amp;"].En := "&amp;IF(ai!E43="",0,1)&amp;";"</f>
        <v>AI[7].En := 1;</v>
      </c>
      <c r="D43" s="237" t="str">
        <f>"AI["&amp;A43&amp;"].Group := "&amp;IF(ai!T43="",0,ai!T43)&amp;";"</f>
        <v>AI[7].Group := 1;</v>
      </c>
      <c r="E43" s="237" t="str">
        <f>"AI["&amp;A43&amp;"].isInvScale := "&amp;IF(ai!U43="",0,1)&amp;";"</f>
        <v>AI[7].isInvScale := 0;</v>
      </c>
      <c r="F43" s="237" t="str">
        <f>"AI["&amp;A43&amp;"].isCut := "&amp;IF(ai!V43="",0,1)&amp;"; "&amp;"AI["&amp;A43&amp;"].vCut := "&amp;IF(ai!V43="",0,ai!V43)&amp;"; "</f>
        <v xml:space="preserve">AI[7].isCut := 0; AI[7].vCut := 0; </v>
      </c>
      <c r="G43" s="237"/>
      <c r="H43" s="237" t="str">
        <f>"AI["&amp;A43&amp;"].ZL := "&amp;IF(ai!G43="",0,ai!G43)&amp;";"</f>
        <v>AI[7].ZL := 0;</v>
      </c>
      <c r="I43" s="237" t="str">
        <f>"AI["&amp;A43&amp;"].ZH := "&amp;IF(ai!H43="",0,ai!H43)&amp;";"</f>
        <v>AI[7].ZH := 100;</v>
      </c>
      <c r="J43" s="237" t="str">
        <f>"AI["&amp;$A43&amp;"]." &amp;J$3&amp;".EN :=" &amp;IF(ai!J43="",0,1)&amp;"; " &amp; "AI["&amp;$A43&amp;"]." &amp;J$3&amp;".V :=" &amp;IF(ai!J43="",0,ai!J43)&amp;"; "</f>
        <v xml:space="preserve">AI[7].RL.EN :=1; AI[7].RL.V :=0; </v>
      </c>
      <c r="K43" s="237" t="str">
        <f>"AI["&amp;$A43&amp;"]." &amp;K$3&amp;".EN :=" &amp;IF(ai!K43="",0,1)&amp;"; " &amp; "AI["&amp;$A43&amp;"]." &amp;K$3&amp;".V :=" &amp;IF(ai!K43="",0,ai!K43)&amp;"; "</f>
        <v xml:space="preserve">AI[7].RH.EN :=1; AI[7].RH.V :=85; </v>
      </c>
      <c r="L43" s="237" t="str">
        <f>"AI["&amp;$A43&amp;"]." &amp;L$3&amp;".EN :=" &amp;IF(ai!L43="",0,1)&amp;"; " &amp; "AI["&amp;$A43&amp;"]." &amp;L$3&amp;".V :=" &amp;IF(ai!L43="",0,ai!L43)&amp;"; "</f>
        <v xml:space="preserve">AI[7].L.EN :=1; AI[7].L.V :=0; </v>
      </c>
      <c r="M43" s="237" t="str">
        <f>"AI["&amp;$A43&amp;"]." &amp;M$3&amp;".EN :=" &amp;IF(ai!M43="",0,1)&amp;"; " &amp; "AI["&amp;$A43&amp;"]." &amp;M$3&amp;".V :=" &amp;IF(ai!M43="",0,ai!M43)&amp;"; "</f>
        <v xml:space="preserve">AI[7].H.EN :=1; AI[7].H.V :=0; </v>
      </c>
      <c r="N43" s="237" t="str">
        <f>"AI["&amp;$A43&amp;"]." &amp;N$3&amp;".EN :=" &amp;IF(ai!N43="",0,1)&amp;"; " &amp; "AI["&amp;$A43&amp;"]." &amp;N$3&amp;".V :=" &amp;IF(ai!N43="",0,ai!N43)&amp;"; "</f>
        <v xml:space="preserve">AI[7].LL.EN :=1; AI[7].LL.V :=0; </v>
      </c>
      <c r="O43" s="237" t="str">
        <f>"AI["&amp;$A43&amp;"]." &amp;O$3&amp;".EN :=" &amp;IF(ai!O43="",0,1)&amp;"; " &amp; "AI["&amp;$A43&amp;"]." &amp;O$3&amp;".V :=" &amp;IF(ai!O43="",0,ai!O43)&amp;"; "</f>
        <v xml:space="preserve">AI[7].HH.EN :=1; AI[7].HH.V :=0; </v>
      </c>
    </row>
    <row r="44" spans="1:15">
      <c r="A44" s="236">
        <f>ai!$D44</f>
        <v>8</v>
      </c>
      <c r="C44" s="237" t="str">
        <f>"AI["&amp;A44&amp;"].En := "&amp;IF(ai!E44="",0,1)&amp;";"</f>
        <v>AI[8].En := 1;</v>
      </c>
      <c r="D44" s="237" t="str">
        <f>"AI["&amp;A44&amp;"].Group := "&amp;IF(ai!T44="",0,ai!T44)&amp;";"</f>
        <v>AI[8].Group := 1;</v>
      </c>
      <c r="E44" s="237" t="str">
        <f>"AI["&amp;A44&amp;"].isInvScale := "&amp;IF(ai!U44="",0,1)&amp;";"</f>
        <v>AI[8].isInvScale := 0;</v>
      </c>
      <c r="F44" s="237" t="str">
        <f>"AI["&amp;A44&amp;"].isCut := "&amp;IF(ai!V44="",0,1)&amp;"; "&amp;"AI["&amp;A44&amp;"].vCut := "&amp;IF(ai!V44="",0,ai!V44)&amp;"; "</f>
        <v xml:space="preserve">AI[8].isCut := 0; AI[8].vCut := 0; </v>
      </c>
      <c r="G44" s="237"/>
      <c r="H44" s="237" t="str">
        <f>"AI["&amp;A44&amp;"].ZL := "&amp;IF(ai!G44="",0,ai!G44)&amp;";"</f>
        <v>AI[8].ZL := 0;</v>
      </c>
      <c r="I44" s="237" t="str">
        <f>"AI["&amp;A44&amp;"].ZH := "&amp;IF(ai!H44="",0,ai!H44)&amp;";"</f>
        <v>AI[8].ZH := 300;</v>
      </c>
      <c r="J44" s="237" t="str">
        <f>"AI["&amp;$A44&amp;"]." &amp;J$3&amp;".EN :=" &amp;IF(ai!J44="",0,1)&amp;"; " &amp; "AI["&amp;$A44&amp;"]." &amp;J$3&amp;".V :=" &amp;IF(ai!J44="",0,ai!J44)&amp;"; "</f>
        <v xml:space="preserve">AI[8].RL.EN :=1; AI[8].RL.V :=125; </v>
      </c>
      <c r="K44" s="237" t="str">
        <f>"AI["&amp;$A44&amp;"]." &amp;K$3&amp;".EN :=" &amp;IF(ai!K44="",0,1)&amp;"; " &amp; "AI["&amp;$A44&amp;"]." &amp;K$3&amp;".V :=" &amp;IF(ai!K44="",0,ai!K44)&amp;"; "</f>
        <v xml:space="preserve">AI[8].RH.EN :=1; AI[8].RH.V :=210; </v>
      </c>
      <c r="L44" s="237" t="str">
        <f>"AI["&amp;$A44&amp;"]." &amp;L$3&amp;".EN :=" &amp;IF(ai!L44="",0,1)&amp;"; " &amp; "AI["&amp;$A44&amp;"]." &amp;L$3&amp;".V :=" &amp;IF(ai!L44="",0,ai!L44)&amp;"; "</f>
        <v xml:space="preserve">AI[8].L.EN :=1; AI[8].L.V :=0; </v>
      </c>
      <c r="M44" s="237" t="str">
        <f>"AI["&amp;$A44&amp;"]." &amp;M$3&amp;".EN :=" &amp;IF(ai!M44="",0,1)&amp;"; " &amp; "AI["&amp;$A44&amp;"]." &amp;M$3&amp;".V :=" &amp;IF(ai!M44="",0,ai!M44)&amp;"; "</f>
        <v xml:space="preserve">AI[8].H.EN :=1; AI[8].H.V :=0; </v>
      </c>
      <c r="N44" s="237" t="str">
        <f>"AI["&amp;$A44&amp;"]." &amp;N$3&amp;".EN :=" &amp;IF(ai!N44="",0,1)&amp;"; " &amp; "AI["&amp;$A44&amp;"]." &amp;N$3&amp;".V :=" &amp;IF(ai!N44="",0,ai!N44)&amp;"; "</f>
        <v xml:space="preserve">AI[8].LL.EN :=1; AI[8].LL.V :=0; </v>
      </c>
      <c r="O44" s="237" t="str">
        <f>"AI["&amp;$A44&amp;"]." &amp;O$3&amp;".EN :=" &amp;IF(ai!O44="",0,1)&amp;"; " &amp; "AI["&amp;$A44&amp;"]." &amp;O$3&amp;".V :=" &amp;IF(ai!O44="",0,ai!O44)&amp;"; "</f>
        <v xml:space="preserve">AI[8].HH.EN :=1; AI[8].HH.V :=0; </v>
      </c>
    </row>
    <row r="45" spans="1:15">
      <c r="A45" s="236">
        <f>ai!$D45</f>
        <v>9</v>
      </c>
      <c r="C45" s="237" t="str">
        <f>"AI["&amp;A45&amp;"].En := "&amp;IF(ai!E45="",0,1)&amp;";"</f>
        <v>AI[9].En := 1;</v>
      </c>
      <c r="D45" s="237" t="str">
        <f>"AI["&amp;A45&amp;"].Group := "&amp;IF(ai!T45="",0,ai!T45)&amp;";"</f>
        <v>AI[9].Group := 1;</v>
      </c>
      <c r="E45" s="237" t="str">
        <f>"AI["&amp;A45&amp;"].isInvScale := "&amp;IF(ai!U45="",0,1)&amp;";"</f>
        <v>AI[9].isInvScale := 0;</v>
      </c>
      <c r="F45" s="237" t="str">
        <f>"AI["&amp;A45&amp;"].isCut := "&amp;IF(ai!V45="",0,1)&amp;"; "&amp;"AI["&amp;A45&amp;"].vCut := "&amp;IF(ai!V45="",0,ai!V45)&amp;"; "</f>
        <v xml:space="preserve">AI[9].isCut := 0; AI[9].vCut := 0; </v>
      </c>
      <c r="G45" s="237"/>
      <c r="H45" s="237" t="str">
        <f>"AI["&amp;A45&amp;"].ZL := "&amp;IF(ai!G45="",0,ai!G45)&amp;";"</f>
        <v>AI[9].ZL := 0;</v>
      </c>
      <c r="I45" s="237" t="str">
        <f>"AI["&amp;A45&amp;"].ZH := "&amp;IF(ai!H45="",0,ai!H45)&amp;";"</f>
        <v>AI[9].ZH := 300;</v>
      </c>
      <c r="J45" s="237" t="str">
        <f>"AI["&amp;$A45&amp;"]." &amp;J$3&amp;".EN :=" &amp;IF(ai!J45="",0,1)&amp;"; " &amp; "AI["&amp;$A45&amp;"]." &amp;J$3&amp;".V :=" &amp;IF(ai!J45="",0,ai!J45)&amp;"; "</f>
        <v xml:space="preserve">AI[9].RL.EN :=1; AI[9].RL.V :=125; </v>
      </c>
      <c r="K45" s="237" t="str">
        <f>"AI["&amp;$A45&amp;"]." &amp;K$3&amp;".EN :=" &amp;IF(ai!K45="",0,1)&amp;"; " &amp; "AI["&amp;$A45&amp;"]." &amp;K$3&amp;".V :=" &amp;IF(ai!K45="",0,ai!K45)&amp;"; "</f>
        <v xml:space="preserve">AI[9].RH.EN :=1; AI[9].RH.V :=210; </v>
      </c>
      <c r="L45" s="237" t="str">
        <f>"AI["&amp;$A45&amp;"]." &amp;L$3&amp;".EN :=" &amp;IF(ai!L45="",0,1)&amp;"; " &amp; "AI["&amp;$A45&amp;"]." &amp;L$3&amp;".V :=" &amp;IF(ai!L45="",0,ai!L45)&amp;"; "</f>
        <v xml:space="preserve">AI[9].L.EN :=1; AI[9].L.V :=0; </v>
      </c>
      <c r="M45" s="237" t="str">
        <f>"AI["&amp;$A45&amp;"]." &amp;M$3&amp;".EN :=" &amp;IF(ai!M45="",0,1)&amp;"; " &amp; "AI["&amp;$A45&amp;"]." &amp;M$3&amp;".V :=" &amp;IF(ai!M45="",0,ai!M45)&amp;"; "</f>
        <v xml:space="preserve">AI[9].H.EN :=1; AI[9].H.V :=0; </v>
      </c>
      <c r="N45" s="237" t="str">
        <f>"AI["&amp;$A45&amp;"]." &amp;N$3&amp;".EN :=" &amp;IF(ai!N45="",0,1)&amp;"; " &amp; "AI["&amp;$A45&amp;"]." &amp;N$3&amp;".V :=" &amp;IF(ai!N45="",0,ai!N45)&amp;"; "</f>
        <v xml:space="preserve">AI[9].LL.EN :=1; AI[9].LL.V :=0; </v>
      </c>
      <c r="O45" s="237" t="str">
        <f>"AI["&amp;$A45&amp;"]." &amp;O$3&amp;".EN :=" &amp;IF(ai!O45="",0,1)&amp;"; " &amp; "AI["&amp;$A45&amp;"]." &amp;O$3&amp;".V :=" &amp;IF(ai!O45="",0,ai!O45)&amp;"; "</f>
        <v xml:space="preserve">AI[9].HH.EN :=1; AI[9].HH.V :=0; </v>
      </c>
    </row>
    <row r="46" spans="1:15">
      <c r="A46" s="236">
        <f>ai!$D46</f>
        <v>10</v>
      </c>
      <c r="C46" s="237" t="str">
        <f>"AI["&amp;A46&amp;"].En := "&amp;IF(ai!E46="",0,1)&amp;";"</f>
        <v>AI[10].En := 1;</v>
      </c>
      <c r="D46" s="237" t="str">
        <f>"AI["&amp;A46&amp;"].Group := "&amp;IF(ai!T46="",0,ai!T46)&amp;";"</f>
        <v>AI[10].Group := 1;</v>
      </c>
      <c r="E46" s="237" t="str">
        <f>"AI["&amp;A46&amp;"].isInvScale := "&amp;IF(ai!U46="",0,1)&amp;";"</f>
        <v>AI[10].isInvScale := 0;</v>
      </c>
      <c r="F46" s="237" t="str">
        <f>"AI["&amp;A46&amp;"].isCut := "&amp;IF(ai!V46="",0,1)&amp;"; "&amp;"AI["&amp;A46&amp;"].vCut := "&amp;IF(ai!V46="",0,ai!V46)&amp;"; "</f>
        <v xml:space="preserve">AI[10].isCut := 0; AI[10].vCut := 0; </v>
      </c>
      <c r="G46" s="237"/>
      <c r="H46" s="237" t="str">
        <f>"AI["&amp;A46&amp;"].ZL := "&amp;IF(ai!G46="",0,ai!G46)&amp;";"</f>
        <v>AI[10].ZL := 0;</v>
      </c>
      <c r="I46" s="237" t="str">
        <f>"AI["&amp;A46&amp;"].ZH := "&amp;IF(ai!H46="",0,ai!H46)&amp;";"</f>
        <v>AI[10].ZH := 300;</v>
      </c>
      <c r="J46" s="237" t="str">
        <f>"AI["&amp;$A46&amp;"]." &amp;J$3&amp;".EN :=" &amp;IF(ai!J46="",0,1)&amp;"; " &amp; "AI["&amp;$A46&amp;"]." &amp;J$3&amp;".V :=" &amp;IF(ai!J46="",0,ai!J46)&amp;"; "</f>
        <v xml:space="preserve">AI[10].RL.EN :=1; AI[10].RL.V :=125; </v>
      </c>
      <c r="K46" s="237" t="str">
        <f>"AI["&amp;$A46&amp;"]." &amp;K$3&amp;".EN :=" &amp;IF(ai!K46="",0,1)&amp;"; " &amp; "AI["&amp;$A46&amp;"]." &amp;K$3&amp;".V :=" &amp;IF(ai!K46="",0,ai!K46)&amp;"; "</f>
        <v xml:space="preserve">AI[10].RH.EN :=1; AI[10].RH.V :=210; </v>
      </c>
      <c r="L46" s="237" t="str">
        <f>"AI["&amp;$A46&amp;"]." &amp;L$3&amp;".EN :=" &amp;IF(ai!L46="",0,1)&amp;"; " &amp; "AI["&amp;$A46&amp;"]." &amp;L$3&amp;".V :=" &amp;IF(ai!L46="",0,ai!L46)&amp;"; "</f>
        <v xml:space="preserve">AI[10].L.EN :=1; AI[10].L.V :=0; </v>
      </c>
      <c r="M46" s="237" t="str">
        <f>"AI["&amp;$A46&amp;"]." &amp;M$3&amp;".EN :=" &amp;IF(ai!M46="",0,1)&amp;"; " &amp; "AI["&amp;$A46&amp;"]." &amp;M$3&amp;".V :=" &amp;IF(ai!M46="",0,ai!M46)&amp;"; "</f>
        <v xml:space="preserve">AI[10].H.EN :=1; AI[10].H.V :=0; </v>
      </c>
      <c r="N46" s="237" t="str">
        <f>"AI["&amp;$A46&amp;"]." &amp;N$3&amp;".EN :=" &amp;IF(ai!N46="",0,1)&amp;"; " &amp; "AI["&amp;$A46&amp;"]." &amp;N$3&amp;".V :=" &amp;IF(ai!N46="",0,ai!N46)&amp;"; "</f>
        <v xml:space="preserve">AI[10].LL.EN :=1; AI[10].LL.V :=0; </v>
      </c>
      <c r="O46" s="237" t="str">
        <f>"AI["&amp;$A46&amp;"]." &amp;O$3&amp;".EN :=" &amp;IF(ai!O46="",0,1)&amp;"; " &amp; "AI["&amp;$A46&amp;"]." &amp;O$3&amp;".V :=" &amp;IF(ai!O46="",0,ai!O46)&amp;"; "</f>
        <v xml:space="preserve">AI[10].HH.EN :=1; AI[10].HH.V :=0; </v>
      </c>
    </row>
    <row r="47" spans="1:15">
      <c r="A47" s="236">
        <f>ai!$D47</f>
        <v>11</v>
      </c>
      <c r="C47" s="237" t="str">
        <f>"AI["&amp;A47&amp;"].En := "&amp;IF(ai!E47="",0,1)&amp;";"</f>
        <v>AI[11].En := 1;</v>
      </c>
      <c r="D47" s="237" t="str">
        <f>"AI["&amp;A47&amp;"].Group := "&amp;IF(ai!T47="",0,ai!T47)&amp;";"</f>
        <v>AI[11].Group := 1;</v>
      </c>
      <c r="E47" s="237" t="str">
        <f>"AI["&amp;A47&amp;"].isInvScale := "&amp;IF(ai!U47="",0,1)&amp;";"</f>
        <v>AI[11].isInvScale := 0;</v>
      </c>
      <c r="F47" s="237" t="str">
        <f>"AI["&amp;A47&amp;"].isCut := "&amp;IF(ai!V47="",0,1)&amp;"; "&amp;"AI["&amp;A47&amp;"].vCut := "&amp;IF(ai!V47="",0,ai!V47)&amp;"; "</f>
        <v xml:space="preserve">AI[11].isCut := 0; AI[11].vCut := 0; </v>
      </c>
      <c r="G47" s="237"/>
      <c r="H47" s="237" t="str">
        <f>"AI["&amp;A47&amp;"].ZL := "&amp;IF(ai!G47="",0,ai!G47)&amp;";"</f>
        <v>AI[11].ZL := 0;</v>
      </c>
      <c r="I47" s="237" t="str">
        <f>"AI["&amp;A47&amp;"].ZH := "&amp;IF(ai!H47="",0,ai!H47)&amp;";"</f>
        <v>AI[11].ZH := 100;</v>
      </c>
      <c r="J47" s="237" t="str">
        <f>"AI["&amp;$A47&amp;"]." &amp;J$3&amp;".EN :=" &amp;IF(ai!J47="",0,1)&amp;"; " &amp; "AI["&amp;$A47&amp;"]." &amp;J$3&amp;".V :=" &amp;IF(ai!J47="",0,ai!J47)&amp;"; "</f>
        <v xml:space="preserve">AI[11].RL.EN :=1; AI[11].RL.V :=0; </v>
      </c>
      <c r="K47" s="237" t="str">
        <f>"AI["&amp;$A47&amp;"]." &amp;K$3&amp;".EN :=" &amp;IF(ai!K47="",0,1)&amp;"; " &amp; "AI["&amp;$A47&amp;"]." &amp;K$3&amp;".V :=" &amp;IF(ai!K47="",0,ai!K47)&amp;"; "</f>
        <v xml:space="preserve">AI[11].RH.EN :=1; AI[11].RH.V :=0; </v>
      </c>
      <c r="L47" s="237" t="str">
        <f>"AI["&amp;$A47&amp;"]." &amp;L$3&amp;".EN :=" &amp;IF(ai!L47="",0,1)&amp;"; " &amp; "AI["&amp;$A47&amp;"]." &amp;L$3&amp;".V :=" &amp;IF(ai!L47="",0,ai!L47)&amp;"; "</f>
        <v xml:space="preserve">AI[11].L.EN :=1; AI[11].L.V :=0; </v>
      </c>
      <c r="M47" s="237" t="str">
        <f>"AI["&amp;$A47&amp;"]." &amp;M$3&amp;".EN :=" &amp;IF(ai!M47="",0,1)&amp;"; " &amp; "AI["&amp;$A47&amp;"]." &amp;M$3&amp;".V :=" &amp;IF(ai!M47="",0,ai!M47)&amp;"; "</f>
        <v xml:space="preserve">AI[11].H.EN :=1; AI[11].H.V :=0; </v>
      </c>
      <c r="N47" s="237" t="str">
        <f>"AI["&amp;$A47&amp;"]." &amp;N$3&amp;".EN :=" &amp;IF(ai!N47="",0,1)&amp;"; " &amp; "AI["&amp;$A47&amp;"]." &amp;N$3&amp;".V :=" &amp;IF(ai!N47="",0,ai!N47)&amp;"; "</f>
        <v xml:space="preserve">AI[11].LL.EN :=1; AI[11].LL.V :=0; </v>
      </c>
      <c r="O47" s="237" t="str">
        <f>"AI["&amp;$A47&amp;"]." &amp;O$3&amp;".EN :=" &amp;IF(ai!O47="",0,1)&amp;"; " &amp; "AI["&amp;$A47&amp;"]." &amp;O$3&amp;".V :=" &amp;IF(ai!O47="",0,ai!O47)&amp;"; "</f>
        <v xml:space="preserve">AI[11].HH.EN :=1; AI[11].HH.V :=0; </v>
      </c>
    </row>
    <row r="48" spans="1:15">
      <c r="A48" s="236">
        <f>ai!$D48</f>
        <v>12</v>
      </c>
      <c r="C48" s="237" t="str">
        <f>"AI["&amp;A48&amp;"].En := "&amp;IF(ai!E48="",0,1)&amp;";"</f>
        <v>AI[12].En := 1;</v>
      </c>
      <c r="D48" s="237" t="str">
        <f>"AI["&amp;A48&amp;"].Group := "&amp;IF(ai!T48="",0,ai!T48)&amp;";"</f>
        <v>AI[12].Group := 3;</v>
      </c>
      <c r="E48" s="237" t="str">
        <f>"AI["&amp;A48&amp;"].isInvScale := "&amp;IF(ai!U48="",0,1)&amp;";"</f>
        <v>AI[12].isInvScale := 0;</v>
      </c>
      <c r="F48" s="237" t="str">
        <f>"AI["&amp;A48&amp;"].isCut := "&amp;IF(ai!V48="",0,1)&amp;"; "&amp;"AI["&amp;A48&amp;"].vCut := "&amp;IF(ai!V48="",0,ai!V48)&amp;"; "</f>
        <v xml:space="preserve">AI[12].isCut := 0; AI[12].vCut := 0; </v>
      </c>
      <c r="G48" s="237"/>
      <c r="H48" s="237" t="str">
        <f>"AI["&amp;A48&amp;"].ZL := "&amp;IF(ai!G48="",0,ai!G48)&amp;";"</f>
        <v>AI[12].ZL := 0;</v>
      </c>
      <c r="I48" s="237" t="str">
        <f>"AI["&amp;A48&amp;"].ZH := "&amp;IF(ai!H48="",0,ai!H48)&amp;";"</f>
        <v>AI[12].ZH := 0;</v>
      </c>
      <c r="J48" s="237" t="str">
        <f>"AI["&amp;$A48&amp;"]." &amp;J$3&amp;".EN :=" &amp;IF(ai!J48="",0,1)&amp;"; " &amp; "AI["&amp;$A48&amp;"]." &amp;J$3&amp;".V :=" &amp;IF(ai!J48="",0,ai!J48)&amp;"; "</f>
        <v xml:space="preserve">AI[12].RL.EN :=1; AI[12].RL.V :=0; </v>
      </c>
      <c r="K48" s="237" t="str">
        <f>"AI["&amp;$A48&amp;"]." &amp;K$3&amp;".EN :=" &amp;IF(ai!K48="",0,1)&amp;"; " &amp; "AI["&amp;$A48&amp;"]." &amp;K$3&amp;".V :=" &amp;IF(ai!K48="",0,ai!K48)&amp;"; "</f>
        <v xml:space="preserve">AI[12].RH.EN :=1; AI[12].RH.V :=0; </v>
      </c>
      <c r="L48" s="237" t="str">
        <f>"AI["&amp;$A48&amp;"]." &amp;L$3&amp;".EN :=" &amp;IF(ai!L48="",0,1)&amp;"; " &amp; "AI["&amp;$A48&amp;"]." &amp;L$3&amp;".V :=" &amp;IF(ai!L48="",0,ai!L48)&amp;"; "</f>
        <v xml:space="preserve">AI[12].L.EN :=1; AI[12].L.V :=0; </v>
      </c>
      <c r="M48" s="237" t="str">
        <f>"AI["&amp;$A48&amp;"]." &amp;M$3&amp;".EN :=" &amp;IF(ai!M48="",0,1)&amp;"; " &amp; "AI["&amp;$A48&amp;"]." &amp;M$3&amp;".V :=" &amp;IF(ai!M48="",0,ai!M48)&amp;"; "</f>
        <v xml:space="preserve">AI[12].H.EN :=1; AI[12].H.V :=0; </v>
      </c>
      <c r="N48" s="237" t="str">
        <f>"AI["&amp;$A48&amp;"]." &amp;N$3&amp;".EN :=" &amp;IF(ai!N48="",0,1)&amp;"; " &amp; "AI["&amp;$A48&amp;"]." &amp;N$3&amp;".V :=" &amp;IF(ai!N48="",0,ai!N48)&amp;"; "</f>
        <v xml:space="preserve">AI[12].LL.EN :=1; AI[12].LL.V :=0; </v>
      </c>
      <c r="O48" s="237" t="str">
        <f>"AI["&amp;$A48&amp;"]." &amp;O$3&amp;".EN :=" &amp;IF(ai!O48="",0,1)&amp;"; " &amp; "AI["&amp;$A48&amp;"]." &amp;O$3&amp;".V :=" &amp;IF(ai!O48="",0,ai!O48)&amp;"; "</f>
        <v xml:space="preserve">AI[12].HH.EN :=1; AI[12].HH.V :=0; </v>
      </c>
    </row>
    <row r="49" spans="1:15">
      <c r="A49" s="236">
        <f>ai!$D49</f>
        <v>13</v>
      </c>
      <c r="C49" s="237" t="str">
        <f>"AI["&amp;A49&amp;"].En := "&amp;IF(ai!E49="",0,1)&amp;";"</f>
        <v>AI[13].En := 1;</v>
      </c>
      <c r="D49" s="237" t="str">
        <f>"AI["&amp;A49&amp;"].Group := "&amp;IF(ai!T49="",0,ai!T49)&amp;";"</f>
        <v>AI[13].Group := 3;</v>
      </c>
      <c r="E49" s="237" t="str">
        <f>"AI["&amp;A49&amp;"].isInvScale := "&amp;IF(ai!U49="",0,1)&amp;";"</f>
        <v>AI[13].isInvScale := 0;</v>
      </c>
      <c r="F49" s="237" t="str">
        <f>"AI["&amp;A49&amp;"].isCut := "&amp;IF(ai!V49="",0,1)&amp;"; "&amp;"AI["&amp;A49&amp;"].vCut := "&amp;IF(ai!V49="",0,ai!V49)&amp;"; "</f>
        <v xml:space="preserve">AI[13].isCut := 0; AI[13].vCut := 0; </v>
      </c>
      <c r="G49" s="237"/>
      <c r="H49" s="237" t="str">
        <f>"AI["&amp;A49&amp;"].ZL := "&amp;IF(ai!G49="",0,ai!G49)&amp;";"</f>
        <v>AI[13].ZL := 0;</v>
      </c>
      <c r="I49" s="237" t="str">
        <f>"AI["&amp;A49&amp;"].ZH := "&amp;IF(ai!H49="",0,ai!H49)&amp;";"</f>
        <v>AI[13].ZH := 0;</v>
      </c>
      <c r="J49" s="237" t="str">
        <f>"AI["&amp;$A49&amp;"]." &amp;J$3&amp;".EN :=" &amp;IF(ai!J49="",0,1)&amp;"; " &amp; "AI["&amp;$A49&amp;"]." &amp;J$3&amp;".V :=" &amp;IF(ai!J49="",0,ai!J49)&amp;"; "</f>
        <v xml:space="preserve">AI[13].RL.EN :=1; AI[13].RL.V :=0; </v>
      </c>
      <c r="K49" s="237" t="str">
        <f>"AI["&amp;$A49&amp;"]." &amp;K$3&amp;".EN :=" &amp;IF(ai!K49="",0,1)&amp;"; " &amp; "AI["&amp;$A49&amp;"]." &amp;K$3&amp;".V :=" &amp;IF(ai!K49="",0,ai!K49)&amp;"; "</f>
        <v xml:space="preserve">AI[13].RH.EN :=1; AI[13].RH.V :=0; </v>
      </c>
      <c r="L49" s="237" t="str">
        <f>"AI["&amp;$A49&amp;"]." &amp;L$3&amp;".EN :=" &amp;IF(ai!L49="",0,1)&amp;"; " &amp; "AI["&amp;$A49&amp;"]." &amp;L$3&amp;".V :=" &amp;IF(ai!L49="",0,ai!L49)&amp;"; "</f>
        <v xml:space="preserve">AI[13].L.EN :=1; AI[13].L.V :=0; </v>
      </c>
      <c r="M49" s="237" t="str">
        <f>"AI["&amp;$A49&amp;"]." &amp;M$3&amp;".EN :=" &amp;IF(ai!M49="",0,1)&amp;"; " &amp; "AI["&amp;$A49&amp;"]." &amp;M$3&amp;".V :=" &amp;IF(ai!M49="",0,ai!M49)&amp;"; "</f>
        <v xml:space="preserve">AI[13].H.EN :=1; AI[13].H.V :=0; </v>
      </c>
      <c r="N49" s="237" t="str">
        <f>"AI["&amp;$A49&amp;"]." &amp;N$3&amp;".EN :=" &amp;IF(ai!N49="",0,1)&amp;"; " &amp; "AI["&amp;$A49&amp;"]." &amp;N$3&amp;".V :=" &amp;IF(ai!N49="",0,ai!N49)&amp;"; "</f>
        <v xml:space="preserve">AI[13].LL.EN :=1; AI[13].LL.V :=0; </v>
      </c>
      <c r="O49" s="237" t="str">
        <f>"AI["&amp;$A49&amp;"]." &amp;O$3&amp;".EN :=" &amp;IF(ai!O49="",0,1)&amp;"; " &amp; "AI["&amp;$A49&amp;"]." &amp;O$3&amp;".V :=" &amp;IF(ai!O49="",0,ai!O49)&amp;"; "</f>
        <v xml:space="preserve">AI[13].HH.EN :=1; AI[13].HH.V :=0; </v>
      </c>
    </row>
    <row r="50" spans="1:15">
      <c r="A50" s="236">
        <f>ai!$D50</f>
        <v>14</v>
      </c>
      <c r="C50" s="237" t="str">
        <f>"AI["&amp;A50&amp;"].En := "&amp;IF(ai!E50="",0,1)&amp;";"</f>
        <v>AI[14].En := 1;</v>
      </c>
      <c r="D50" s="237" t="str">
        <f>"AI["&amp;A50&amp;"].Group := "&amp;IF(ai!T50="",0,ai!T50)&amp;";"</f>
        <v>AI[14].Group := 3;</v>
      </c>
      <c r="E50" s="237" t="str">
        <f>"AI["&amp;A50&amp;"].isInvScale := "&amp;IF(ai!U50="",0,1)&amp;";"</f>
        <v>AI[14].isInvScale := 1;</v>
      </c>
      <c r="F50" s="237" t="str">
        <f>"AI["&amp;A50&amp;"].isCut := "&amp;IF(ai!V50="",0,1)&amp;"; "&amp;"AI["&amp;A50&amp;"].vCut := "&amp;IF(ai!V50="",0,ai!V50)&amp;"; "</f>
        <v xml:space="preserve">AI[14].isCut := 0; AI[14].vCut := 0; </v>
      </c>
      <c r="G50" s="237"/>
      <c r="H50" s="237" t="str">
        <f>"AI["&amp;A50&amp;"].ZL := "&amp;IF(ai!G50="",0,ai!G50)&amp;";"</f>
        <v>AI[14].ZL := 0;</v>
      </c>
      <c r="I50" s="237" t="str">
        <f>"AI["&amp;A50&amp;"].ZH := "&amp;IF(ai!H50="",0,ai!H50)&amp;";"</f>
        <v>AI[14].ZH := 0;</v>
      </c>
      <c r="J50" s="237" t="str">
        <f>"AI["&amp;$A50&amp;"]." &amp;J$3&amp;".EN :=" &amp;IF(ai!J50="",0,1)&amp;"; " &amp; "AI["&amp;$A50&amp;"]." &amp;J$3&amp;".V :=" &amp;IF(ai!J50="",0,ai!J50)&amp;"; "</f>
        <v xml:space="preserve">AI[14].RL.EN :=1; AI[14].RL.V :=0; </v>
      </c>
      <c r="K50" s="237" t="str">
        <f>"AI["&amp;$A50&amp;"]." &amp;K$3&amp;".EN :=" &amp;IF(ai!K50="",0,1)&amp;"; " &amp; "AI["&amp;$A50&amp;"]." &amp;K$3&amp;".V :=" &amp;IF(ai!K50="",0,ai!K50)&amp;"; "</f>
        <v xml:space="preserve">AI[14].RH.EN :=1; AI[14].RH.V :=0; </v>
      </c>
      <c r="L50" s="237" t="str">
        <f>"AI["&amp;$A50&amp;"]." &amp;L$3&amp;".EN :=" &amp;IF(ai!L50="",0,1)&amp;"; " &amp; "AI["&amp;$A50&amp;"]." &amp;L$3&amp;".V :=" &amp;IF(ai!L50="",0,ai!L50)&amp;"; "</f>
        <v xml:space="preserve">AI[14].L.EN :=1; AI[14].L.V :=0; </v>
      </c>
      <c r="M50" s="237" t="str">
        <f>"AI["&amp;$A50&amp;"]." &amp;M$3&amp;".EN :=" &amp;IF(ai!M50="",0,1)&amp;"; " &amp; "AI["&amp;$A50&amp;"]." &amp;M$3&amp;".V :=" &amp;IF(ai!M50="",0,ai!M50)&amp;"; "</f>
        <v xml:space="preserve">AI[14].H.EN :=1; AI[14].H.V :=0; </v>
      </c>
      <c r="N50" s="237" t="str">
        <f>"AI["&amp;$A50&amp;"]." &amp;N$3&amp;".EN :=" &amp;IF(ai!N50="",0,1)&amp;"; " &amp; "AI["&amp;$A50&amp;"]." &amp;N$3&amp;".V :=" &amp;IF(ai!N50="",0,ai!N50)&amp;"; "</f>
        <v xml:space="preserve">AI[14].LL.EN :=1; AI[14].LL.V :=0; </v>
      </c>
      <c r="O50" s="237" t="str">
        <f>"AI["&amp;$A50&amp;"]." &amp;O$3&amp;".EN :=" &amp;IF(ai!O50="",0,1)&amp;"; " &amp; "AI["&amp;$A50&amp;"]." &amp;O$3&amp;".V :=" &amp;IF(ai!O50="",0,ai!O50)&amp;"; "</f>
        <v xml:space="preserve">AI[14].HH.EN :=1; AI[14].HH.V :=0; </v>
      </c>
    </row>
    <row r="51" spans="1:15">
      <c r="A51" s="236">
        <f>ai!$D51</f>
        <v>15</v>
      </c>
      <c r="C51" s="237" t="str">
        <f>"AI["&amp;A51&amp;"].En := "&amp;IF(ai!E51="",0,1)&amp;";"</f>
        <v>AI[15].En := 1;</v>
      </c>
      <c r="D51" s="237" t="str">
        <f>"AI["&amp;A51&amp;"].Group := "&amp;IF(ai!T51="",0,ai!T51)&amp;";"</f>
        <v>AI[15].Group := 3;</v>
      </c>
      <c r="E51" s="237" t="str">
        <f>"AI["&amp;A51&amp;"].isInvScale := "&amp;IF(ai!U51="",0,1)&amp;";"</f>
        <v>AI[15].isInvScale := 1;</v>
      </c>
      <c r="F51" s="237" t="str">
        <f>"AI["&amp;A51&amp;"].isCut := "&amp;IF(ai!V51="",0,1)&amp;"; "&amp;"AI["&amp;A51&amp;"].vCut := "&amp;IF(ai!V51="",0,ai!V51)&amp;"; "</f>
        <v xml:space="preserve">AI[15].isCut := 0; AI[15].vCut := 0; </v>
      </c>
      <c r="G51" s="237"/>
      <c r="H51" s="237" t="str">
        <f>"AI["&amp;A51&amp;"].ZL := "&amp;IF(ai!G51="",0,ai!G51)&amp;";"</f>
        <v>AI[15].ZL := 0;</v>
      </c>
      <c r="I51" s="237" t="str">
        <f>"AI["&amp;A51&amp;"].ZH := "&amp;IF(ai!H51="",0,ai!H51)&amp;";"</f>
        <v>AI[15].ZH := 0;</v>
      </c>
      <c r="J51" s="237" t="str">
        <f>"AI["&amp;$A51&amp;"]." &amp;J$3&amp;".EN :=" &amp;IF(ai!J51="",0,1)&amp;"; " &amp; "AI["&amp;$A51&amp;"]." &amp;J$3&amp;".V :=" &amp;IF(ai!J51="",0,ai!J51)&amp;"; "</f>
        <v xml:space="preserve">AI[15].RL.EN :=1; AI[15].RL.V :=0; </v>
      </c>
      <c r="K51" s="237" t="str">
        <f>"AI["&amp;$A51&amp;"]." &amp;K$3&amp;".EN :=" &amp;IF(ai!K51="",0,1)&amp;"; " &amp; "AI["&amp;$A51&amp;"]." &amp;K$3&amp;".V :=" &amp;IF(ai!K51="",0,ai!K51)&amp;"; "</f>
        <v xml:space="preserve">AI[15].RH.EN :=1; AI[15].RH.V :=0; </v>
      </c>
      <c r="L51" s="237" t="str">
        <f>"AI["&amp;$A51&amp;"]." &amp;L$3&amp;".EN :=" &amp;IF(ai!L51="",0,1)&amp;"; " &amp; "AI["&amp;$A51&amp;"]." &amp;L$3&amp;".V :=" &amp;IF(ai!L51="",0,ai!L51)&amp;"; "</f>
        <v xml:space="preserve">AI[15].L.EN :=1; AI[15].L.V :=0; </v>
      </c>
      <c r="M51" s="237" t="str">
        <f>"AI["&amp;$A51&amp;"]." &amp;M$3&amp;".EN :=" &amp;IF(ai!M51="",0,1)&amp;"; " &amp; "AI["&amp;$A51&amp;"]." &amp;M$3&amp;".V :=" &amp;IF(ai!M51="",0,ai!M51)&amp;"; "</f>
        <v xml:space="preserve">AI[15].H.EN :=1; AI[15].H.V :=0; </v>
      </c>
      <c r="N51" s="237" t="str">
        <f>"AI["&amp;$A51&amp;"]." &amp;N$3&amp;".EN :=" &amp;IF(ai!N51="",0,1)&amp;"; " &amp; "AI["&amp;$A51&amp;"]." &amp;N$3&amp;".V :=" &amp;IF(ai!N51="",0,ai!N51)&amp;"; "</f>
        <v xml:space="preserve">AI[15].LL.EN :=1; AI[15].LL.V :=0; </v>
      </c>
      <c r="O51" s="237" t="str">
        <f>"AI["&amp;$A51&amp;"]." &amp;O$3&amp;".EN :=" &amp;IF(ai!O51="",0,1)&amp;"; " &amp; "AI["&amp;$A51&amp;"]." &amp;O$3&amp;".V :=" &amp;IF(ai!O51="",0,ai!O51)&amp;"; "</f>
        <v xml:space="preserve">AI[15].HH.EN :=1; AI[15].HH.V :=0; </v>
      </c>
    </row>
    <row r="52" spans="1:15">
      <c r="A52" s="236">
        <f>ai!$D52</f>
        <v>0</v>
      </c>
      <c r="C52" s="237" t="str">
        <f>"AI["&amp;A52&amp;"].En := "&amp;IF(ai!E52="",0,1)&amp;";"</f>
        <v>AI[0].En := 1;</v>
      </c>
      <c r="D52" s="237" t="str">
        <f>"AI["&amp;A52&amp;"].Group := "&amp;IF(ai!T52="",0,ai!T52)&amp;";"</f>
        <v>AI[0].Group := 2;</v>
      </c>
      <c r="E52" s="237" t="str">
        <f>"AI["&amp;A52&amp;"].isInvScale := "&amp;IF(ai!U52="",0,1)&amp;";"</f>
        <v>AI[0].isInvScale := 0;</v>
      </c>
      <c r="F52" s="237" t="str">
        <f>"AI["&amp;A52&amp;"].isCut := "&amp;IF(ai!V52="",0,1)&amp;"; "&amp;"AI["&amp;A52&amp;"].vCut := "&amp;IF(ai!V52="",0,ai!V52)&amp;"; "</f>
        <v xml:space="preserve">AI[0].isCut := 0; AI[0].vCut := 0; </v>
      </c>
      <c r="G52" s="237"/>
      <c r="H52" s="237" t="str">
        <f>"AI["&amp;A52&amp;"].ZL := "&amp;IF(ai!G52="",0,ai!G52)&amp;";"</f>
        <v>AI[0].ZL := 0;</v>
      </c>
      <c r="I52" s="237" t="str">
        <f>"AI["&amp;A52&amp;"].ZH := "&amp;IF(ai!H52="",0,ai!H52)&amp;";"</f>
        <v>AI[0].ZH := 100;</v>
      </c>
      <c r="J52" s="237" t="str">
        <f>"AI["&amp;$A52&amp;"]." &amp;J$3&amp;".EN :=" &amp;IF(ai!J52="",0,1)&amp;"; " &amp; "AI["&amp;$A52&amp;"]." &amp;J$3&amp;".V :=" &amp;IF(ai!J52="",0,ai!J52)&amp;"; "</f>
        <v xml:space="preserve">AI[0].RL.EN :=1; AI[0].RL.V :=30; </v>
      </c>
      <c r="K52" s="237" t="str">
        <f>"AI["&amp;$A52&amp;"]." &amp;K$3&amp;".EN :=" &amp;IF(ai!K52="",0,1)&amp;"; " &amp; "AI["&amp;$A52&amp;"]." &amp;K$3&amp;".V :=" &amp;IF(ai!K52="",0,ai!K52)&amp;"; "</f>
        <v xml:space="preserve">AI[0].RH.EN :=1; AI[0].RH.V :=50; </v>
      </c>
      <c r="L52" s="237" t="str">
        <f>"AI["&amp;$A52&amp;"]." &amp;L$3&amp;".EN :=" &amp;IF(ai!L52="",0,1)&amp;"; " &amp; "AI["&amp;$A52&amp;"]." &amp;L$3&amp;".V :=" &amp;IF(ai!L52="",0,ai!L52)&amp;"; "</f>
        <v xml:space="preserve">AI[0].L.EN :=1; AI[0].L.V :=0; </v>
      </c>
      <c r="M52" s="237" t="str">
        <f>"AI["&amp;$A52&amp;"]." &amp;M$3&amp;".EN :=" &amp;IF(ai!M52="",0,1)&amp;"; " &amp; "AI["&amp;$A52&amp;"]." &amp;M$3&amp;".V :=" &amp;IF(ai!M52="",0,ai!M52)&amp;"; "</f>
        <v xml:space="preserve">AI[0].H.EN :=1; AI[0].H.V :=0; </v>
      </c>
      <c r="N52" s="237" t="str">
        <f>"AI["&amp;$A52&amp;"]." &amp;N$3&amp;".EN :=" &amp;IF(ai!N52="",0,1)&amp;"; " &amp; "AI["&amp;$A52&amp;"]." &amp;N$3&amp;".V :=" &amp;IF(ai!N52="",0,ai!N52)&amp;"; "</f>
        <v xml:space="preserve">AI[0].LL.EN :=1; AI[0].LL.V :=0; </v>
      </c>
      <c r="O52" s="237" t="str">
        <f>"AI["&amp;$A52&amp;"]." &amp;O$3&amp;".EN :=" &amp;IF(ai!O52="",0,1)&amp;"; " &amp; "AI["&amp;$A52&amp;"]." &amp;O$3&amp;".V :=" &amp;IF(ai!O52="",0,ai!O52)&amp;"; "</f>
        <v xml:space="preserve">AI[0].HH.EN :=1; AI[0].HH.V :=0; </v>
      </c>
    </row>
    <row r="53" spans="1:15">
      <c r="A53" s="236">
        <f>ai!$D53</f>
        <v>1</v>
      </c>
      <c r="C53" s="237" t="str">
        <f>"AI["&amp;A53&amp;"].En := "&amp;IF(ai!E53="",0,1)&amp;";"</f>
        <v>AI[1].En := 1;</v>
      </c>
      <c r="D53" s="237" t="str">
        <f>"AI["&amp;A53&amp;"].Group := "&amp;IF(ai!T53="",0,ai!T53)&amp;";"</f>
        <v>AI[1].Group := 2;</v>
      </c>
      <c r="E53" s="237" t="str">
        <f>"AI["&amp;A53&amp;"].isInvScale := "&amp;IF(ai!U53="",0,1)&amp;";"</f>
        <v>AI[1].isInvScale := 0;</v>
      </c>
      <c r="F53" s="237" t="str">
        <f>"AI["&amp;A53&amp;"].isCut := "&amp;IF(ai!V53="",0,1)&amp;"; "&amp;"AI["&amp;A53&amp;"].vCut := "&amp;IF(ai!V53="",0,ai!V53)&amp;"; "</f>
        <v xml:space="preserve">AI[1].isCut := 0; AI[1].vCut := 0; </v>
      </c>
      <c r="G53" s="237"/>
      <c r="H53" s="237" t="str">
        <f>"AI["&amp;A53&amp;"].ZL := "&amp;IF(ai!G53="",0,ai!G53)&amp;";"</f>
        <v>AI[1].ZL := 0;</v>
      </c>
      <c r="I53" s="237" t="str">
        <f>"AI["&amp;A53&amp;"].ZH := "&amp;IF(ai!H53="",0,ai!H53)&amp;";"</f>
        <v>AI[1].ZH := 60;</v>
      </c>
      <c r="J53" s="237" t="str">
        <f>"AI["&amp;$A53&amp;"]." &amp;J$3&amp;".EN :=" &amp;IF(ai!J53="",0,1)&amp;"; " &amp; "AI["&amp;$A53&amp;"]." &amp;J$3&amp;".V :=" &amp;IF(ai!J53="",0,ai!J53)&amp;"; "</f>
        <v xml:space="preserve">AI[1].RL.EN :=1; AI[1].RL.V :=18; </v>
      </c>
      <c r="K53" s="237" t="str">
        <f>"AI["&amp;$A53&amp;"]." &amp;K$3&amp;".EN :=" &amp;IF(ai!K53="",0,1)&amp;"; " &amp; "AI["&amp;$A53&amp;"]." &amp;K$3&amp;".V :=" &amp;IF(ai!K53="",0,ai!K53)&amp;"; "</f>
        <v xml:space="preserve">AI[1].RH.EN :=1; AI[1].RH.V :=25; </v>
      </c>
      <c r="L53" s="237" t="str">
        <f>"AI["&amp;$A53&amp;"]." &amp;L$3&amp;".EN :=" &amp;IF(ai!L53="",0,1)&amp;"; " &amp; "AI["&amp;$A53&amp;"]." &amp;L$3&amp;".V :=" &amp;IF(ai!L53="",0,ai!L53)&amp;"; "</f>
        <v xml:space="preserve">AI[1].L.EN :=1; AI[1].L.V :=0; </v>
      </c>
      <c r="M53" s="237" t="str">
        <f>"AI["&amp;$A53&amp;"]." &amp;M$3&amp;".EN :=" &amp;IF(ai!M53="",0,1)&amp;"; " &amp; "AI["&amp;$A53&amp;"]." &amp;M$3&amp;".V :=" &amp;IF(ai!M53="",0,ai!M53)&amp;"; "</f>
        <v xml:space="preserve">AI[1].H.EN :=1; AI[1].H.V :=0; </v>
      </c>
      <c r="N53" s="237" t="str">
        <f>"AI["&amp;$A53&amp;"]." &amp;N$3&amp;".EN :=" &amp;IF(ai!N53="",0,1)&amp;"; " &amp; "AI["&amp;$A53&amp;"]." &amp;N$3&amp;".V :=" &amp;IF(ai!N53="",0,ai!N53)&amp;"; "</f>
        <v xml:space="preserve">AI[1].LL.EN :=1; AI[1].LL.V :=0; </v>
      </c>
      <c r="O53" s="237" t="str">
        <f>"AI["&amp;$A53&amp;"]." &amp;O$3&amp;".EN :=" &amp;IF(ai!O53="",0,1)&amp;"; " &amp; "AI["&amp;$A53&amp;"]." &amp;O$3&amp;".V :=" &amp;IF(ai!O53="",0,ai!O53)&amp;"; "</f>
        <v xml:space="preserve">AI[1].HH.EN :=1; AI[1].HH.V :=0; </v>
      </c>
    </row>
    <row r="54" spans="1:15">
      <c r="A54" s="236">
        <f>ai!$D54</f>
        <v>2</v>
      </c>
      <c r="C54" s="237" t="str">
        <f>"AI["&amp;A54&amp;"].En := "&amp;IF(ai!E54="",0,1)&amp;";"</f>
        <v>AI[2].En := 1;</v>
      </c>
      <c r="D54" s="237" t="str">
        <f>"AI["&amp;A54&amp;"].Group := "&amp;IF(ai!T54="",0,ai!T54)&amp;";"</f>
        <v>AI[2].Group := 2;</v>
      </c>
      <c r="E54" s="237" t="str">
        <f>"AI["&amp;A54&amp;"].isInvScale := "&amp;IF(ai!U54="",0,1)&amp;";"</f>
        <v>AI[2].isInvScale := 0;</v>
      </c>
      <c r="F54" s="237" t="str">
        <f>"AI["&amp;A54&amp;"].isCut := "&amp;IF(ai!V54="",0,1)&amp;"; "&amp;"AI["&amp;A54&amp;"].vCut := "&amp;IF(ai!V54="",0,ai!V54)&amp;"; "</f>
        <v xml:space="preserve">AI[2].isCut := 0; AI[2].vCut := 0; </v>
      </c>
      <c r="G54" s="237"/>
      <c r="H54" s="237" t="str">
        <f>"AI["&amp;A54&amp;"].ZL := "&amp;IF(ai!G54="",0,ai!G54)&amp;";"</f>
        <v>AI[2].ZL := 0;</v>
      </c>
      <c r="I54" s="237" t="str">
        <f>"AI["&amp;A54&amp;"].ZH := "&amp;IF(ai!H54="",0,ai!H54)&amp;";"</f>
        <v>AI[2].ZH := 400;</v>
      </c>
      <c r="J54" s="237" t="str">
        <f>"AI["&amp;$A54&amp;"]." &amp;J$3&amp;".EN :=" &amp;IF(ai!J54="",0,1)&amp;"; " &amp; "AI["&amp;$A54&amp;"]." &amp;J$3&amp;".V :=" &amp;IF(ai!J54="",0,ai!J54)&amp;"; "</f>
        <v xml:space="preserve">AI[2].RL.EN :=1; AI[2].RL.V :=30; </v>
      </c>
      <c r="K54" s="237" t="str">
        <f>"AI["&amp;$A54&amp;"]." &amp;K$3&amp;".EN :=" &amp;IF(ai!K54="",0,1)&amp;"; " &amp; "AI["&amp;$A54&amp;"]." &amp;K$3&amp;".V :=" &amp;IF(ai!K54="",0,ai!K54)&amp;"; "</f>
        <v xml:space="preserve">AI[2].RH.EN :=1; AI[2].RH.V :=100; </v>
      </c>
      <c r="L54" s="237" t="str">
        <f>"AI["&amp;$A54&amp;"]." &amp;L$3&amp;".EN :=" &amp;IF(ai!L54="",0,1)&amp;"; " &amp; "AI["&amp;$A54&amp;"]." &amp;L$3&amp;".V :=" &amp;IF(ai!L54="",0,ai!L54)&amp;"; "</f>
        <v xml:space="preserve">AI[2].L.EN :=1; AI[2].L.V :=0; </v>
      </c>
      <c r="M54" s="237" t="str">
        <f>"AI["&amp;$A54&amp;"]." &amp;M$3&amp;".EN :=" &amp;IF(ai!M54="",0,1)&amp;"; " &amp; "AI["&amp;$A54&amp;"]." &amp;M$3&amp;".V :=" &amp;IF(ai!M54="",0,ai!M54)&amp;"; "</f>
        <v xml:space="preserve">AI[2].H.EN :=1; AI[2].H.V :=0; </v>
      </c>
      <c r="N54" s="237" t="str">
        <f>"AI["&amp;$A54&amp;"]." &amp;N$3&amp;".EN :=" &amp;IF(ai!N54="",0,1)&amp;"; " &amp; "AI["&amp;$A54&amp;"]." &amp;N$3&amp;".V :=" &amp;IF(ai!N54="",0,ai!N54)&amp;"; "</f>
        <v xml:space="preserve">AI[2].LL.EN :=1; AI[2].LL.V :=0; </v>
      </c>
      <c r="O54" s="237" t="str">
        <f>"AI["&amp;$A54&amp;"]." &amp;O$3&amp;".EN :=" &amp;IF(ai!O54="",0,1)&amp;"; " &amp; "AI["&amp;$A54&amp;"]." &amp;O$3&amp;".V :=" &amp;IF(ai!O54="",0,ai!O54)&amp;"; "</f>
        <v xml:space="preserve">AI[2].HH.EN :=1; AI[2].HH.V :=0; </v>
      </c>
    </row>
    <row r="55" spans="1:15">
      <c r="A55" s="236">
        <f>ai!$D55</f>
        <v>3</v>
      </c>
      <c r="C55" s="237" t="str">
        <f>"AI["&amp;A55&amp;"].En := "&amp;IF(ai!E55="",0,1)&amp;";"</f>
        <v>AI[3].En := 1;</v>
      </c>
      <c r="D55" s="237" t="str">
        <f>"AI["&amp;A55&amp;"].Group := "&amp;IF(ai!T55="",0,ai!T55)&amp;";"</f>
        <v>AI[3].Group := 2;</v>
      </c>
      <c r="E55" s="237" t="str">
        <f>"AI["&amp;A55&amp;"].isInvScale := "&amp;IF(ai!U55="",0,1)&amp;";"</f>
        <v>AI[3].isInvScale := 0;</v>
      </c>
      <c r="F55" s="237" t="str">
        <f>"AI["&amp;A55&amp;"].isCut := "&amp;IF(ai!V55="",0,1)&amp;"; "&amp;"AI["&amp;A55&amp;"].vCut := "&amp;IF(ai!V55="",0,ai!V55)&amp;"; "</f>
        <v xml:space="preserve">AI[3].isCut := 0; AI[3].vCut := 0; </v>
      </c>
      <c r="G55" s="237"/>
      <c r="H55" s="237" t="str">
        <f>"AI["&amp;A55&amp;"].ZL := "&amp;IF(ai!G55="",0,ai!G55)&amp;";"</f>
        <v>AI[3].ZL := 0;</v>
      </c>
      <c r="I55" s="237" t="str">
        <f>"AI["&amp;A55&amp;"].ZH := "&amp;IF(ai!H55="",0,ai!H55)&amp;";"</f>
        <v>AI[3].ZH := 100;</v>
      </c>
      <c r="J55" s="237" t="str">
        <f>"AI["&amp;$A55&amp;"]." &amp;J$3&amp;".EN :=" &amp;IF(ai!J55="",0,1)&amp;"; " &amp; "AI["&amp;$A55&amp;"]." &amp;J$3&amp;".V :=" &amp;IF(ai!J55="",0,ai!J55)&amp;"; "</f>
        <v xml:space="preserve">AI[3].RL.EN :=1; AI[3].RL.V :=15; </v>
      </c>
      <c r="K55" s="237" t="str">
        <f>"AI["&amp;$A55&amp;"]." &amp;K$3&amp;".EN :=" &amp;IF(ai!K55="",0,1)&amp;"; " &amp; "AI["&amp;$A55&amp;"]." &amp;K$3&amp;".V :=" &amp;IF(ai!K55="",0,ai!K55)&amp;"; "</f>
        <v xml:space="preserve">AI[3].RH.EN :=1; AI[3].RH.V :=40; </v>
      </c>
      <c r="L55" s="237" t="str">
        <f>"AI["&amp;$A55&amp;"]." &amp;L$3&amp;".EN :=" &amp;IF(ai!L55="",0,1)&amp;"; " &amp; "AI["&amp;$A55&amp;"]." &amp;L$3&amp;".V :=" &amp;IF(ai!L55="",0,ai!L55)&amp;"; "</f>
        <v xml:space="preserve">AI[3].L.EN :=1; AI[3].L.V :=10; </v>
      </c>
      <c r="M55" s="237" t="str">
        <f>"AI["&amp;$A55&amp;"]." &amp;M$3&amp;".EN :=" &amp;IF(ai!M55="",0,1)&amp;"; " &amp; "AI["&amp;$A55&amp;"]." &amp;M$3&amp;".V :=" &amp;IF(ai!M55="",0,ai!M55)&amp;"; "</f>
        <v xml:space="preserve">AI[3].H.EN :=1; AI[3].H.V :=55; </v>
      </c>
      <c r="N55" s="237" t="str">
        <f>"AI["&amp;$A55&amp;"]." &amp;N$3&amp;".EN :=" &amp;IF(ai!N55="",0,1)&amp;"; " &amp; "AI["&amp;$A55&amp;"]." &amp;N$3&amp;".V :=" &amp;IF(ai!N55="",0,ai!N55)&amp;"; "</f>
        <v xml:space="preserve">AI[3].LL.EN :=1; AI[3].LL.V :=0; </v>
      </c>
      <c r="O55" s="237" t="str">
        <f>"AI["&amp;$A55&amp;"]." &amp;O$3&amp;".EN :=" &amp;IF(ai!O55="",0,1)&amp;"; " &amp; "AI["&amp;$A55&amp;"]." &amp;O$3&amp;".V :=" &amp;IF(ai!O55="",0,ai!O55)&amp;"; "</f>
        <v xml:space="preserve">AI[3].HH.EN :=1; AI[3].HH.V :=0; </v>
      </c>
    </row>
    <row r="56" spans="1:15">
      <c r="A56" s="236">
        <f>ai!$D56</f>
        <v>4</v>
      </c>
      <c r="C56" s="237" t="str">
        <f>"AI["&amp;A56&amp;"].En := "&amp;IF(ai!E56="",0,1)&amp;";"</f>
        <v>AI[4].En := 1;</v>
      </c>
      <c r="D56" s="237" t="str">
        <f>"AI["&amp;A56&amp;"].Group := "&amp;IF(ai!T56="",0,ai!T56)&amp;";"</f>
        <v>AI[4].Group := 2;</v>
      </c>
      <c r="E56" s="237" t="str">
        <f>"AI["&amp;A56&amp;"].isInvScale := "&amp;IF(ai!U56="",0,1)&amp;";"</f>
        <v>AI[4].isInvScale := 0;</v>
      </c>
      <c r="F56" s="237" t="str">
        <f>"AI["&amp;A56&amp;"].isCut := "&amp;IF(ai!V56="",0,1)&amp;"; "&amp;"AI["&amp;A56&amp;"].vCut := "&amp;IF(ai!V56="",0,ai!V56)&amp;"; "</f>
        <v xml:space="preserve">AI[4].isCut := 0; AI[4].vCut := 0; </v>
      </c>
      <c r="G56" s="237"/>
      <c r="H56" s="237" t="str">
        <f>"AI["&amp;A56&amp;"].ZL := "&amp;IF(ai!G56="",0,ai!G56)&amp;";"</f>
        <v>AI[4].ZL := 0;</v>
      </c>
      <c r="I56" s="237" t="str">
        <f>"AI["&amp;A56&amp;"].ZH := "&amp;IF(ai!H56="",0,ai!H56)&amp;";"</f>
        <v>AI[4].ZH := 100;</v>
      </c>
      <c r="J56" s="237" t="str">
        <f>"AI["&amp;$A56&amp;"]." &amp;J$3&amp;".EN :=" &amp;IF(ai!J56="",0,1)&amp;"; " &amp; "AI["&amp;$A56&amp;"]." &amp;J$3&amp;".V :=" &amp;IF(ai!J56="",0,ai!J56)&amp;"; "</f>
        <v xml:space="preserve">AI[4].RL.EN :=1; AI[4].RL.V :=10; </v>
      </c>
      <c r="K56" s="237" t="str">
        <f>"AI["&amp;$A56&amp;"]." &amp;K$3&amp;".EN :=" &amp;IF(ai!K56="",0,1)&amp;"; " &amp; "AI["&amp;$A56&amp;"]." &amp;K$3&amp;".V :=" &amp;IF(ai!K56="",0,ai!K56)&amp;"; "</f>
        <v xml:space="preserve">AI[4].RH.EN :=1; AI[4].RH.V :=60; </v>
      </c>
      <c r="L56" s="237" t="str">
        <f>"AI["&amp;$A56&amp;"]." &amp;L$3&amp;".EN :=" &amp;IF(ai!L56="",0,1)&amp;"; " &amp; "AI["&amp;$A56&amp;"]." &amp;L$3&amp;".V :=" &amp;IF(ai!L56="",0,ai!L56)&amp;"; "</f>
        <v xml:space="preserve">AI[4].L.EN :=1; AI[4].L.V :=10; </v>
      </c>
      <c r="M56" s="237" t="str">
        <f>"AI["&amp;$A56&amp;"]." &amp;M$3&amp;".EN :=" &amp;IF(ai!M56="",0,1)&amp;"; " &amp; "AI["&amp;$A56&amp;"]." &amp;M$3&amp;".V :=" &amp;IF(ai!M56="",0,ai!M56)&amp;"; "</f>
        <v xml:space="preserve">AI[4].H.EN :=1; AI[4].H.V :=60; </v>
      </c>
      <c r="N56" s="237" t="str">
        <f>"AI["&amp;$A56&amp;"]." &amp;N$3&amp;".EN :=" &amp;IF(ai!N56="",0,1)&amp;"; " &amp; "AI["&amp;$A56&amp;"]." &amp;N$3&amp;".V :=" &amp;IF(ai!N56="",0,ai!N56)&amp;"; "</f>
        <v xml:space="preserve">AI[4].LL.EN :=1; AI[4].LL.V :=0; </v>
      </c>
      <c r="O56" s="237" t="str">
        <f>"AI["&amp;$A56&amp;"]." &amp;O$3&amp;".EN :=" &amp;IF(ai!O56="",0,1)&amp;"; " &amp; "AI["&amp;$A56&amp;"]." &amp;O$3&amp;".V :=" &amp;IF(ai!O56="",0,ai!O56)&amp;"; "</f>
        <v xml:space="preserve">AI[4].HH.EN :=1; AI[4].HH.V :=0; </v>
      </c>
    </row>
    <row r="57" spans="1:15">
      <c r="A57" s="236">
        <f>ai!$D57</f>
        <v>5</v>
      </c>
      <c r="C57" s="237" t="str">
        <f>"AI["&amp;A57&amp;"].En := "&amp;IF(ai!E57="",0,1)&amp;";"</f>
        <v>AI[5].En := 1;</v>
      </c>
      <c r="D57" s="237" t="str">
        <f>"AI["&amp;A57&amp;"].Group := "&amp;IF(ai!T57="",0,ai!T57)&amp;";"</f>
        <v>AI[5].Group := 2;</v>
      </c>
      <c r="E57" s="237" t="str">
        <f>"AI["&amp;A57&amp;"].isInvScale := "&amp;IF(ai!U57="",0,1)&amp;";"</f>
        <v>AI[5].isInvScale := 0;</v>
      </c>
      <c r="F57" s="237" t="str">
        <f>"AI["&amp;A57&amp;"].isCut := "&amp;IF(ai!V57="",0,1)&amp;"; "&amp;"AI["&amp;A57&amp;"].vCut := "&amp;IF(ai!V57="",0,ai!V57)&amp;"; "</f>
        <v xml:space="preserve">AI[5].isCut := 0; AI[5].vCut := 0; </v>
      </c>
      <c r="G57" s="237"/>
      <c r="H57" s="237" t="str">
        <f>"AI["&amp;A57&amp;"].ZL := "&amp;IF(ai!G57="",0,ai!G57)&amp;";"</f>
        <v>AI[5].ZL := 0;</v>
      </c>
      <c r="I57" s="237" t="str">
        <f>"AI["&amp;A57&amp;"].ZH := "&amp;IF(ai!H57="",0,ai!H57)&amp;";"</f>
        <v>AI[5].ZH := 75;</v>
      </c>
      <c r="J57" s="237" t="str">
        <f>"AI["&amp;$A57&amp;"]." &amp;J$3&amp;".EN :=" &amp;IF(ai!J57="",0,1)&amp;"; " &amp; "AI["&amp;$A57&amp;"]." &amp;J$3&amp;".V :=" &amp;IF(ai!J57="",0,ai!J57)&amp;"; "</f>
        <v xml:space="preserve">AI[5].RL.EN :=1; AI[5].RL.V :=27; </v>
      </c>
      <c r="K57" s="237" t="str">
        <f>"AI["&amp;$A57&amp;"]." &amp;K$3&amp;".EN :=" &amp;IF(ai!K57="",0,1)&amp;"; " &amp; "AI["&amp;$A57&amp;"]." &amp;K$3&amp;".V :=" &amp;IF(ai!K57="",0,ai!K57)&amp;"; "</f>
        <v xml:space="preserve">AI[5].RH.EN :=1; AI[5].RH.V :=60; </v>
      </c>
      <c r="L57" s="237" t="str">
        <f>"AI["&amp;$A57&amp;"]." &amp;L$3&amp;".EN :=" &amp;IF(ai!L57="",0,1)&amp;"; " &amp; "AI["&amp;$A57&amp;"]." &amp;L$3&amp;".V :=" &amp;IF(ai!L57="",0,ai!L57)&amp;"; "</f>
        <v xml:space="preserve">AI[5].L.EN :=1; AI[5].L.V :=0; </v>
      </c>
      <c r="M57" s="237" t="str">
        <f>"AI["&amp;$A57&amp;"]." &amp;M$3&amp;".EN :=" &amp;IF(ai!M57="",0,1)&amp;"; " &amp; "AI["&amp;$A57&amp;"]." &amp;M$3&amp;".V :=" &amp;IF(ai!M57="",0,ai!M57)&amp;"; "</f>
        <v xml:space="preserve">AI[5].H.EN :=1; AI[5].H.V :=0; </v>
      </c>
      <c r="N57" s="237" t="str">
        <f>"AI["&amp;$A57&amp;"]." &amp;N$3&amp;".EN :=" &amp;IF(ai!N57="",0,1)&amp;"; " &amp; "AI["&amp;$A57&amp;"]." &amp;N$3&amp;".V :=" &amp;IF(ai!N57="",0,ai!N57)&amp;"; "</f>
        <v xml:space="preserve">AI[5].LL.EN :=1; AI[5].LL.V :=0; </v>
      </c>
      <c r="O57" s="237" t="str">
        <f>"AI["&amp;$A57&amp;"]." &amp;O$3&amp;".EN :=" &amp;IF(ai!O57="",0,1)&amp;"; " &amp; "AI["&amp;$A57&amp;"]." &amp;O$3&amp;".V :=" &amp;IF(ai!O57="",0,ai!O57)&amp;"; "</f>
        <v xml:space="preserve">AI[5].HH.EN :=1; AI[5].HH.V :=0; </v>
      </c>
    </row>
    <row r="58" spans="1:15">
      <c r="A58" s="236">
        <f>ai!$D58</f>
        <v>6</v>
      </c>
      <c r="C58" s="237" t="str">
        <f>"AI["&amp;A58&amp;"].En := "&amp;IF(ai!E58="",0,1)&amp;";"</f>
        <v>AI[6].En := 1;</v>
      </c>
      <c r="D58" s="237" t="str">
        <f>"AI["&amp;A58&amp;"].Group := "&amp;IF(ai!T58="",0,ai!T58)&amp;";"</f>
        <v>AI[6].Group := 2;</v>
      </c>
      <c r="E58" s="237" t="str">
        <f>"AI["&amp;A58&amp;"].isInvScale := "&amp;IF(ai!U58="",0,1)&amp;";"</f>
        <v>AI[6].isInvScale := 0;</v>
      </c>
      <c r="F58" s="237" t="str">
        <f>"AI["&amp;A58&amp;"].isCut := "&amp;IF(ai!V58="",0,1)&amp;"; "&amp;"AI["&amp;A58&amp;"].vCut := "&amp;IF(ai!V58="",0,ai!V58)&amp;"; "</f>
        <v xml:space="preserve">AI[6].isCut := 0; AI[6].vCut := 0; </v>
      </c>
      <c r="G58" s="237"/>
      <c r="H58" s="237" t="str">
        <f>"AI["&amp;A58&amp;"].ZL := "&amp;IF(ai!G58="",0,ai!G58)&amp;";"</f>
        <v>AI[6].ZL := 0;</v>
      </c>
      <c r="I58" s="237" t="str">
        <f>"AI["&amp;A58&amp;"].ZH := "&amp;IF(ai!H58="",0,ai!H58)&amp;";"</f>
        <v>AI[6].ZH := 2000;</v>
      </c>
      <c r="J58" s="237" t="str">
        <f>"AI["&amp;$A58&amp;"]." &amp;J$3&amp;".EN :=" &amp;IF(ai!J58="",0,1)&amp;"; " &amp; "AI["&amp;$A58&amp;"]." &amp;J$3&amp;".V :=" &amp;IF(ai!J58="",0,ai!J58)&amp;"; "</f>
        <v xml:space="preserve">AI[6].RL.EN :=1; AI[6].RL.V :=0; </v>
      </c>
      <c r="K58" s="237" t="str">
        <f>"AI["&amp;$A58&amp;"]." &amp;K$3&amp;".EN :=" &amp;IF(ai!K58="",0,1)&amp;"; " &amp; "AI["&amp;$A58&amp;"]." &amp;K$3&amp;".V :=" &amp;IF(ai!K58="",0,ai!K58)&amp;"; "</f>
        <v xml:space="preserve">AI[6].RH.EN :=1; AI[6].RH.V :=1630; </v>
      </c>
      <c r="L58" s="237" t="str">
        <f>"AI["&amp;$A58&amp;"]." &amp;L$3&amp;".EN :=" &amp;IF(ai!L58="",0,1)&amp;"; " &amp; "AI["&amp;$A58&amp;"]." &amp;L$3&amp;".V :=" &amp;IF(ai!L58="",0,ai!L58)&amp;"; "</f>
        <v xml:space="preserve">AI[6].L.EN :=1; AI[6].L.V :=0; </v>
      </c>
      <c r="M58" s="237" t="str">
        <f>"AI["&amp;$A58&amp;"]." &amp;M$3&amp;".EN :=" &amp;IF(ai!M58="",0,1)&amp;"; " &amp; "AI["&amp;$A58&amp;"]." &amp;M$3&amp;".V :=" &amp;IF(ai!M58="",0,ai!M58)&amp;"; "</f>
        <v xml:space="preserve">AI[6].H.EN :=1; AI[6].H.V :=0; </v>
      </c>
      <c r="N58" s="237" t="str">
        <f>"AI["&amp;$A58&amp;"]." &amp;N$3&amp;".EN :=" &amp;IF(ai!N58="",0,1)&amp;"; " &amp; "AI["&amp;$A58&amp;"]." &amp;N$3&amp;".V :=" &amp;IF(ai!N58="",0,ai!N58)&amp;"; "</f>
        <v xml:space="preserve">AI[6].LL.EN :=1; AI[6].LL.V :=0; </v>
      </c>
      <c r="O58" s="237" t="str">
        <f>"AI["&amp;$A58&amp;"]." &amp;O$3&amp;".EN :=" &amp;IF(ai!O58="",0,1)&amp;"; " &amp; "AI["&amp;$A58&amp;"]." &amp;O$3&amp;".V :=" &amp;IF(ai!O58="",0,ai!O58)&amp;"; "</f>
        <v xml:space="preserve">AI[6].HH.EN :=1; AI[6].HH.V :=0; </v>
      </c>
    </row>
    <row r="59" spans="1:15">
      <c r="A59" s="236">
        <f>ai!$D59</f>
        <v>7</v>
      </c>
      <c r="C59" s="237" t="str">
        <f>"AI["&amp;A59&amp;"].En := "&amp;IF(ai!E59="",0,1)&amp;";"</f>
        <v>AI[7].En := 1;</v>
      </c>
      <c r="D59" s="237" t="str">
        <f>"AI["&amp;A59&amp;"].Group := "&amp;IF(ai!T59="",0,ai!T59)&amp;";"</f>
        <v>AI[7].Group := 2;</v>
      </c>
      <c r="E59" s="237" t="str">
        <f>"AI["&amp;A59&amp;"].isInvScale := "&amp;IF(ai!U59="",0,1)&amp;";"</f>
        <v>AI[7].isInvScale := 0;</v>
      </c>
      <c r="F59" s="237" t="str">
        <f>"AI["&amp;A59&amp;"].isCut := "&amp;IF(ai!V59="",0,1)&amp;"; "&amp;"AI["&amp;A59&amp;"].vCut := "&amp;IF(ai!V59="",0,ai!V59)&amp;"; "</f>
        <v xml:space="preserve">AI[7].isCut := 0; AI[7].vCut := 0; </v>
      </c>
      <c r="G59" s="237"/>
      <c r="H59" s="237" t="str">
        <f>"AI["&amp;A59&amp;"].ZL := "&amp;IF(ai!G59="",0,ai!G59)&amp;";"</f>
        <v>AI[7].ZL := 0;</v>
      </c>
      <c r="I59" s="237" t="str">
        <f>"AI["&amp;A59&amp;"].ZH := "&amp;IF(ai!H59="",0,ai!H59)&amp;";"</f>
        <v>AI[7].ZH := 300;</v>
      </c>
      <c r="J59" s="237" t="str">
        <f>"AI["&amp;$A59&amp;"]." &amp;J$3&amp;".EN :=" &amp;IF(ai!J59="",0,1)&amp;"; " &amp; "AI["&amp;$A59&amp;"]." &amp;J$3&amp;".V :=" &amp;IF(ai!J59="",0,ai!J59)&amp;"; "</f>
        <v xml:space="preserve">AI[7].RL.EN :=1; AI[7].RL.V :=0; </v>
      </c>
      <c r="K59" s="237" t="str">
        <f>"AI["&amp;$A59&amp;"]." &amp;K$3&amp;".EN :=" &amp;IF(ai!K59="",0,1)&amp;"; " &amp; "AI["&amp;$A59&amp;"]." &amp;K$3&amp;".V :=" &amp;IF(ai!K59="",0,ai!K59)&amp;"; "</f>
        <v xml:space="preserve">AI[7].RH.EN :=1; AI[7].RH.V :=240; </v>
      </c>
      <c r="L59" s="237" t="str">
        <f>"AI["&amp;$A59&amp;"]." &amp;L$3&amp;".EN :=" &amp;IF(ai!L59="",0,1)&amp;"; " &amp; "AI["&amp;$A59&amp;"]." &amp;L$3&amp;".V :=" &amp;IF(ai!L59="",0,ai!L59)&amp;"; "</f>
        <v xml:space="preserve">AI[7].L.EN :=1; AI[7].L.V :=0; </v>
      </c>
      <c r="M59" s="237" t="str">
        <f>"AI["&amp;$A59&amp;"]." &amp;M$3&amp;".EN :=" &amp;IF(ai!M59="",0,1)&amp;"; " &amp; "AI["&amp;$A59&amp;"]." &amp;M$3&amp;".V :=" &amp;IF(ai!M59="",0,ai!M59)&amp;"; "</f>
        <v xml:space="preserve">AI[7].H.EN :=1; AI[7].H.V :=170; </v>
      </c>
      <c r="N59" s="237" t="str">
        <f>"AI["&amp;$A59&amp;"]." &amp;N$3&amp;".EN :=" &amp;IF(ai!N59="",0,1)&amp;"; " &amp; "AI["&amp;$A59&amp;"]." &amp;N$3&amp;".V :=" &amp;IF(ai!N59="",0,ai!N59)&amp;"; "</f>
        <v xml:space="preserve">AI[7].LL.EN :=1; AI[7].LL.V :=0; </v>
      </c>
      <c r="O59" s="237" t="str">
        <f>"AI["&amp;$A59&amp;"]." &amp;O$3&amp;".EN :=" &amp;IF(ai!O59="",0,1)&amp;"; " &amp; "AI["&amp;$A59&amp;"]." &amp;O$3&amp;".V :=" &amp;IF(ai!O59="",0,ai!O59)&amp;"; "</f>
        <v xml:space="preserve">AI[7].HH.EN :=1; AI[7].HH.V :=240; </v>
      </c>
    </row>
    <row r="60" spans="1:15">
      <c r="A60" s="236">
        <f>ai!$D60</f>
        <v>8</v>
      </c>
      <c r="C60" s="237" t="str">
        <f>"AI["&amp;A60&amp;"].En := "&amp;IF(ai!E60="",0,1)&amp;";"</f>
        <v>AI[8].En := 1;</v>
      </c>
      <c r="D60" s="237" t="str">
        <f>"AI["&amp;A60&amp;"].Group := "&amp;IF(ai!T60="",0,ai!T60)&amp;";"</f>
        <v>AI[8].Group := 2;</v>
      </c>
      <c r="E60" s="237" t="str">
        <f>"AI["&amp;A60&amp;"].isInvScale := "&amp;IF(ai!U60="",0,1)&amp;";"</f>
        <v>AI[8].isInvScale := 0;</v>
      </c>
      <c r="F60" s="237" t="str">
        <f>"AI["&amp;A60&amp;"].isCut := "&amp;IF(ai!V60="",0,1)&amp;"; "&amp;"AI["&amp;A60&amp;"].vCut := "&amp;IF(ai!V60="",0,ai!V60)&amp;"; "</f>
        <v xml:space="preserve">AI[8].isCut := 0; AI[8].vCut := 0; </v>
      </c>
      <c r="G60" s="237"/>
      <c r="H60" s="237" t="str">
        <f>"AI["&amp;A60&amp;"].ZL := "&amp;IF(ai!G60="",0,ai!G60)&amp;";"</f>
        <v>AI[8].ZL := 0;</v>
      </c>
      <c r="I60" s="237" t="str">
        <f>"AI["&amp;A60&amp;"].ZH := "&amp;IF(ai!H60="",0,ai!H60)&amp;";"</f>
        <v>AI[8].ZH := 300;</v>
      </c>
      <c r="J60" s="237" t="str">
        <f>"AI["&amp;$A60&amp;"]." &amp;J$3&amp;".EN :=" &amp;IF(ai!J60="",0,1)&amp;"; " &amp; "AI["&amp;$A60&amp;"]." &amp;J$3&amp;".V :=" &amp;IF(ai!J60="",0,ai!J60)&amp;"; "</f>
        <v xml:space="preserve">AI[8].RL.EN :=1; AI[8].RL.V :=130; </v>
      </c>
      <c r="K60" s="237" t="str">
        <f>"AI["&amp;$A60&amp;"]." &amp;K$3&amp;".EN :=" &amp;IF(ai!K60="",0,1)&amp;"; " &amp; "AI["&amp;$A60&amp;"]." &amp;K$3&amp;".V :=" &amp;IF(ai!K60="",0,ai!K60)&amp;"; "</f>
        <v xml:space="preserve">AI[8].RH.EN :=1; AI[8].RH.V :=280; </v>
      </c>
      <c r="L60" s="237" t="str">
        <f>"AI["&amp;$A60&amp;"]." &amp;L$3&amp;".EN :=" &amp;IF(ai!L60="",0,1)&amp;"; " &amp; "AI["&amp;$A60&amp;"]." &amp;L$3&amp;".V :=" &amp;IF(ai!L60="",0,ai!L60)&amp;"; "</f>
        <v xml:space="preserve">AI[8].L.EN :=1; AI[8].L.V :=0; </v>
      </c>
      <c r="M60" s="237" t="str">
        <f>"AI["&amp;$A60&amp;"]." &amp;M$3&amp;".EN :=" &amp;IF(ai!M60="",0,1)&amp;"; " &amp; "AI["&amp;$A60&amp;"]." &amp;M$3&amp;".V :=" &amp;IF(ai!M60="",0,ai!M60)&amp;"; "</f>
        <v xml:space="preserve">AI[8].H.EN :=1; AI[8].H.V :=0; </v>
      </c>
      <c r="N60" s="237" t="str">
        <f>"AI["&amp;$A60&amp;"]." &amp;N$3&amp;".EN :=" &amp;IF(ai!N60="",0,1)&amp;"; " &amp; "AI["&amp;$A60&amp;"]." &amp;N$3&amp;".V :=" &amp;IF(ai!N60="",0,ai!N60)&amp;"; "</f>
        <v xml:space="preserve">AI[8].LL.EN :=1; AI[8].LL.V :=0; </v>
      </c>
      <c r="O60" s="237" t="str">
        <f>"AI["&amp;$A60&amp;"]." &amp;O$3&amp;".EN :=" &amp;IF(ai!O60="",0,1)&amp;"; " &amp; "AI["&amp;$A60&amp;"]." &amp;O$3&amp;".V :=" &amp;IF(ai!O60="",0,ai!O60)&amp;"; "</f>
        <v xml:space="preserve">AI[8].HH.EN :=1; AI[8].HH.V :=0; </v>
      </c>
    </row>
    <row r="61" spans="1:15">
      <c r="A61" s="236">
        <f>ai!$D61</f>
        <v>9</v>
      </c>
      <c r="C61" s="237" t="str">
        <f>"AI["&amp;A61&amp;"].En := "&amp;IF(ai!E61="",0,1)&amp;";"</f>
        <v>AI[9].En := 1;</v>
      </c>
      <c r="D61" s="237" t="str">
        <f>"AI["&amp;A61&amp;"].Group := "&amp;IF(ai!T61="",0,ai!T61)&amp;";"</f>
        <v>AI[9].Group := 2;</v>
      </c>
      <c r="E61" s="237" t="str">
        <f>"AI["&amp;A61&amp;"].isInvScale := "&amp;IF(ai!U61="",0,1)&amp;";"</f>
        <v>AI[9].isInvScale := 0;</v>
      </c>
      <c r="F61" s="237" t="str">
        <f>"AI["&amp;A61&amp;"].isCut := "&amp;IF(ai!V61="",0,1)&amp;"; "&amp;"AI["&amp;A61&amp;"].vCut := "&amp;IF(ai!V61="",0,ai!V61)&amp;"; "</f>
        <v xml:space="preserve">AI[9].isCut := 0; AI[9].vCut := 0; </v>
      </c>
      <c r="G61" s="237"/>
      <c r="H61" s="237" t="str">
        <f>"AI["&amp;A61&amp;"].ZL := "&amp;IF(ai!G61="",0,ai!G61)&amp;";"</f>
        <v>AI[9].ZL := 0;</v>
      </c>
      <c r="I61" s="237" t="str">
        <f>"AI["&amp;A61&amp;"].ZH := "&amp;IF(ai!H61="",0,ai!H61)&amp;";"</f>
        <v>AI[9].ZH := 200;</v>
      </c>
      <c r="J61" s="237" t="str">
        <f>"AI["&amp;$A61&amp;"]." &amp;J$3&amp;".EN :=" &amp;IF(ai!J61="",0,1)&amp;"; " &amp; "AI["&amp;$A61&amp;"]." &amp;J$3&amp;".V :=" &amp;IF(ai!J61="",0,ai!J61)&amp;"; "</f>
        <v xml:space="preserve">AI[9].RL.EN :=1; AI[9].RL.V :=115; </v>
      </c>
      <c r="K61" s="237" t="str">
        <f>"AI["&amp;$A61&amp;"]." &amp;K$3&amp;".EN :=" &amp;IF(ai!K61="",0,1)&amp;"; " &amp; "AI["&amp;$A61&amp;"]." &amp;K$3&amp;".V :=" &amp;IF(ai!K61="",0,ai!K61)&amp;"; "</f>
        <v xml:space="preserve">AI[9].RH.EN :=1; AI[9].RH.V :=155; </v>
      </c>
      <c r="L61" s="237" t="str">
        <f>"AI["&amp;$A61&amp;"]." &amp;L$3&amp;".EN :=" &amp;IF(ai!L61="",0,1)&amp;"; " &amp; "AI["&amp;$A61&amp;"]." &amp;L$3&amp;".V :=" &amp;IF(ai!L61="",0,ai!L61)&amp;"; "</f>
        <v xml:space="preserve">AI[9].L.EN :=1; AI[9].L.V :=0; </v>
      </c>
      <c r="M61" s="237" t="str">
        <f>"AI["&amp;$A61&amp;"]." &amp;M$3&amp;".EN :=" &amp;IF(ai!M61="",0,1)&amp;"; " &amp; "AI["&amp;$A61&amp;"]." &amp;M$3&amp;".V :=" &amp;IF(ai!M61="",0,ai!M61)&amp;"; "</f>
        <v xml:space="preserve">AI[9].H.EN :=1; AI[9].H.V :=156; </v>
      </c>
      <c r="N61" s="237" t="str">
        <f>"AI["&amp;$A61&amp;"]." &amp;N$3&amp;".EN :=" &amp;IF(ai!N61="",0,1)&amp;"; " &amp; "AI["&amp;$A61&amp;"]." &amp;N$3&amp;".V :=" &amp;IF(ai!N61="",0,ai!N61)&amp;"; "</f>
        <v xml:space="preserve">AI[9].LL.EN :=1; AI[9].LL.V :=0; </v>
      </c>
      <c r="O61" s="237" t="str">
        <f>"AI["&amp;$A61&amp;"]." &amp;O$3&amp;".EN :=" &amp;IF(ai!O61="",0,1)&amp;"; " &amp; "AI["&amp;$A61&amp;"]." &amp;O$3&amp;".V :=" &amp;IF(ai!O61="",0,ai!O61)&amp;"; "</f>
        <v xml:space="preserve">AI[9].HH.EN :=1; AI[9].HH.V :=0; </v>
      </c>
    </row>
    <row r="62" spans="1:15">
      <c r="A62" s="236">
        <f>ai!$D62</f>
        <v>10</v>
      </c>
      <c r="C62" s="237" t="str">
        <f>"AI["&amp;A62&amp;"].En := "&amp;IF(ai!E62="",0,1)&amp;";"</f>
        <v>AI[10].En := 1;</v>
      </c>
      <c r="D62" s="237" t="str">
        <f>"AI["&amp;A62&amp;"].Group := "&amp;IF(ai!T62="",0,ai!T62)&amp;";"</f>
        <v>AI[10].Group := 2;</v>
      </c>
      <c r="E62" s="237" t="str">
        <f>"AI["&amp;A62&amp;"].isInvScale := "&amp;IF(ai!U62="",0,1)&amp;";"</f>
        <v>AI[10].isInvScale := 0;</v>
      </c>
      <c r="F62" s="237" t="str">
        <f>"AI["&amp;A62&amp;"].isCut := "&amp;IF(ai!V62="",0,1)&amp;"; "&amp;"AI["&amp;A62&amp;"].vCut := "&amp;IF(ai!V62="",0,ai!V62)&amp;"; "</f>
        <v xml:space="preserve">AI[10].isCut := 0; AI[10].vCut := 0; </v>
      </c>
      <c r="G62" s="237"/>
      <c r="H62" s="237" t="str">
        <f>"AI["&amp;A62&amp;"].ZL := "&amp;IF(ai!G62="",0,ai!G62)&amp;";"</f>
        <v>AI[10].ZL := 0;</v>
      </c>
      <c r="I62" s="237" t="str">
        <f>"AI["&amp;A62&amp;"].ZH := "&amp;IF(ai!H62="",0,ai!H62)&amp;";"</f>
        <v>AI[10].ZH := 350;</v>
      </c>
      <c r="J62" s="237" t="str">
        <f>"AI["&amp;$A62&amp;"]." &amp;J$3&amp;".EN :=" &amp;IF(ai!J62="",0,1)&amp;"; " &amp; "AI["&amp;$A62&amp;"]." &amp;J$3&amp;".V :=" &amp;IF(ai!J62="",0,ai!J62)&amp;"; "</f>
        <v xml:space="preserve">AI[10].RL.EN :=1; AI[10].RL.V :=32; </v>
      </c>
      <c r="K62" s="237" t="str">
        <f>"AI["&amp;$A62&amp;"]." &amp;K$3&amp;".EN :=" &amp;IF(ai!K62="",0,1)&amp;"; " &amp; "AI["&amp;$A62&amp;"]." &amp;K$3&amp;".V :=" &amp;IF(ai!K62="",0,ai!K62)&amp;"; "</f>
        <v xml:space="preserve">AI[10].RH.EN :=1; AI[10].RH.V :=320; </v>
      </c>
      <c r="L62" s="237" t="str">
        <f>"AI["&amp;$A62&amp;"]." &amp;L$3&amp;".EN :=" &amp;IF(ai!L62="",0,1)&amp;"; " &amp; "AI["&amp;$A62&amp;"]." &amp;L$3&amp;".V :=" &amp;IF(ai!L62="",0,ai!L62)&amp;"; "</f>
        <v xml:space="preserve">AI[10].L.EN :=1; AI[10].L.V :=0; </v>
      </c>
      <c r="M62" s="237" t="str">
        <f>"AI["&amp;$A62&amp;"]." &amp;M$3&amp;".EN :=" &amp;IF(ai!M62="",0,1)&amp;"; " &amp; "AI["&amp;$A62&amp;"]." &amp;M$3&amp;".V :=" &amp;IF(ai!M62="",0,ai!M62)&amp;"; "</f>
        <v xml:space="preserve">AI[10].H.EN :=1; AI[10].H.V :=0; </v>
      </c>
      <c r="N62" s="237" t="str">
        <f>"AI["&amp;$A62&amp;"]." &amp;N$3&amp;".EN :=" &amp;IF(ai!N62="",0,1)&amp;"; " &amp; "AI["&amp;$A62&amp;"]." &amp;N$3&amp;".V :=" &amp;IF(ai!N62="",0,ai!N62)&amp;"; "</f>
        <v xml:space="preserve">AI[10].LL.EN :=1; AI[10].LL.V :=0; </v>
      </c>
      <c r="O62" s="237" t="str">
        <f>"AI["&amp;$A62&amp;"]." &amp;O$3&amp;".EN :=" &amp;IF(ai!O62="",0,1)&amp;"; " &amp; "AI["&amp;$A62&amp;"]." &amp;O$3&amp;".V :=" &amp;IF(ai!O62="",0,ai!O62)&amp;"; "</f>
        <v xml:space="preserve">AI[10].HH.EN :=1; AI[10].HH.V :=0; </v>
      </c>
    </row>
    <row r="63" spans="1:15">
      <c r="A63" s="236">
        <f>ai!$D63</f>
        <v>11</v>
      </c>
      <c r="C63" s="237" t="str">
        <f>"AI["&amp;A63&amp;"].En := "&amp;IF(ai!E63="",0,1)&amp;";"</f>
        <v>AI[11].En := 1;</v>
      </c>
      <c r="D63" s="237" t="str">
        <f>"AI["&amp;A63&amp;"].Group := "&amp;IF(ai!T63="",0,ai!T63)&amp;";"</f>
        <v>AI[11].Group := 2;</v>
      </c>
      <c r="E63" s="237" t="str">
        <f>"AI["&amp;A63&amp;"].isInvScale := "&amp;IF(ai!U63="",0,1)&amp;";"</f>
        <v>AI[11].isInvScale := 0;</v>
      </c>
      <c r="F63" s="237" t="str">
        <f>"AI["&amp;A63&amp;"].isCut := "&amp;IF(ai!V63="",0,1)&amp;"; "&amp;"AI["&amp;A63&amp;"].vCut := "&amp;IF(ai!V63="",0,ai!V63)&amp;"; "</f>
        <v xml:space="preserve">AI[11].isCut := 0; AI[11].vCut := 0; </v>
      </c>
      <c r="G63" s="237"/>
      <c r="H63" s="237" t="str">
        <f>"AI["&amp;A63&amp;"].ZL := "&amp;IF(ai!G63="",0,ai!G63)&amp;";"</f>
        <v>AI[11].ZL := 0;</v>
      </c>
      <c r="I63" s="237" t="str">
        <f>"AI["&amp;A63&amp;"].ZH := "&amp;IF(ai!H63="",0,ai!H63)&amp;";"</f>
        <v>AI[11].ZH := 350;</v>
      </c>
      <c r="J63" s="237" t="str">
        <f>"AI["&amp;$A63&amp;"]." &amp;J$3&amp;".EN :=" &amp;IF(ai!J63="",0,1)&amp;"; " &amp; "AI["&amp;$A63&amp;"]." &amp;J$3&amp;".V :=" &amp;IF(ai!J63="",0,ai!J63)&amp;"; "</f>
        <v xml:space="preserve">AI[11].RL.EN :=1; AI[11].RL.V :=32; </v>
      </c>
      <c r="K63" s="237" t="str">
        <f>"AI["&amp;$A63&amp;"]." &amp;K$3&amp;".EN :=" &amp;IF(ai!K63="",0,1)&amp;"; " &amp; "AI["&amp;$A63&amp;"]." &amp;K$3&amp;".V :=" &amp;IF(ai!K63="",0,ai!K63)&amp;"; "</f>
        <v xml:space="preserve">AI[11].RH.EN :=1; AI[11].RH.V :=320; </v>
      </c>
      <c r="L63" s="237" t="str">
        <f>"AI["&amp;$A63&amp;"]." &amp;L$3&amp;".EN :=" &amp;IF(ai!L63="",0,1)&amp;"; " &amp; "AI["&amp;$A63&amp;"]." &amp;L$3&amp;".V :=" &amp;IF(ai!L63="",0,ai!L63)&amp;"; "</f>
        <v xml:space="preserve">AI[11].L.EN :=1; AI[11].L.V :=0; </v>
      </c>
      <c r="M63" s="237" t="str">
        <f>"AI["&amp;$A63&amp;"]." &amp;M$3&amp;".EN :=" &amp;IF(ai!M63="",0,1)&amp;"; " &amp; "AI["&amp;$A63&amp;"]." &amp;M$3&amp;".V :=" &amp;IF(ai!M63="",0,ai!M63)&amp;"; "</f>
        <v xml:space="preserve">AI[11].H.EN :=1; AI[11].H.V :=0; </v>
      </c>
      <c r="N63" s="237" t="str">
        <f>"AI["&amp;$A63&amp;"]." &amp;N$3&amp;".EN :=" &amp;IF(ai!N63="",0,1)&amp;"; " &amp; "AI["&amp;$A63&amp;"]." &amp;N$3&amp;".V :=" &amp;IF(ai!N63="",0,ai!N63)&amp;"; "</f>
        <v xml:space="preserve">AI[11].LL.EN :=1; AI[11].LL.V :=0; </v>
      </c>
      <c r="O63" s="237" t="str">
        <f>"AI["&amp;$A63&amp;"]." &amp;O$3&amp;".EN :=" &amp;IF(ai!O63="",0,1)&amp;"; " &amp; "AI["&amp;$A63&amp;"]." &amp;O$3&amp;".V :=" &amp;IF(ai!O63="",0,ai!O63)&amp;"; "</f>
        <v xml:space="preserve">AI[11].HH.EN :=1; AI[11].HH.V :=0; </v>
      </c>
    </row>
    <row r="64" spans="1:15">
      <c r="A64" s="236">
        <f>ai!$D64</f>
        <v>12</v>
      </c>
      <c r="C64" s="237" t="str">
        <f>"AI["&amp;A64&amp;"].En := "&amp;IF(ai!E64="",0,1)&amp;";"</f>
        <v>AI[12].En := 1;</v>
      </c>
      <c r="D64" s="237" t="str">
        <f>"AI["&amp;A64&amp;"].Group := "&amp;IF(ai!T64="",0,ai!T64)&amp;";"</f>
        <v>AI[12].Group := 2;</v>
      </c>
      <c r="E64" s="237" t="str">
        <f>"AI["&amp;A64&amp;"].isInvScale := "&amp;IF(ai!U64="",0,1)&amp;";"</f>
        <v>AI[12].isInvScale := 0;</v>
      </c>
      <c r="F64" s="237" t="str">
        <f>"AI["&amp;A64&amp;"].isCut := "&amp;IF(ai!V64="",0,1)&amp;"; "&amp;"AI["&amp;A64&amp;"].vCut := "&amp;IF(ai!V64="",0,ai!V64)&amp;"; "</f>
        <v xml:space="preserve">AI[12].isCut := 0; AI[12].vCut := 0; </v>
      </c>
      <c r="G64" s="237"/>
      <c r="H64" s="237" t="str">
        <f>"AI["&amp;A64&amp;"].ZL := "&amp;IF(ai!G64="",0,ai!G64)&amp;";"</f>
        <v>AI[12].ZL := 0;</v>
      </c>
      <c r="I64" s="237" t="str">
        <f>"AI["&amp;A64&amp;"].ZH := "&amp;IF(ai!H64="",0,ai!H64)&amp;";"</f>
        <v>AI[12].ZH := 20;</v>
      </c>
      <c r="J64" s="237" t="str">
        <f>"AI["&amp;$A64&amp;"]." &amp;J$3&amp;".EN :=" &amp;IF(ai!J64="",0,1)&amp;"; " &amp; "AI["&amp;$A64&amp;"]." &amp;J$3&amp;".V :=" &amp;IF(ai!J64="",0,ai!J64)&amp;"; "</f>
        <v xml:space="preserve">AI[12].RL.EN :=1; AI[12].RL.V :=5; </v>
      </c>
      <c r="K64" s="237" t="str">
        <f>"AI["&amp;$A64&amp;"]." &amp;K$3&amp;".EN :=" &amp;IF(ai!K64="",0,1)&amp;"; " &amp; "AI["&amp;$A64&amp;"]." &amp;K$3&amp;".V :=" &amp;IF(ai!K64="",0,ai!K64)&amp;"; "</f>
        <v xml:space="preserve">AI[12].RH.EN :=1; AI[12].RH.V :=13; </v>
      </c>
      <c r="L64" s="237" t="str">
        <f>"AI["&amp;$A64&amp;"]." &amp;L$3&amp;".EN :=" &amp;IF(ai!L64="",0,1)&amp;"; " &amp; "AI["&amp;$A64&amp;"]." &amp;L$3&amp;".V :=" &amp;IF(ai!L64="",0,ai!L64)&amp;"; "</f>
        <v xml:space="preserve">AI[12].L.EN :=1; AI[12].L.V :=0; </v>
      </c>
      <c r="M64" s="237" t="str">
        <f>"AI["&amp;$A64&amp;"]." &amp;M$3&amp;".EN :=" &amp;IF(ai!M64="",0,1)&amp;"; " &amp; "AI["&amp;$A64&amp;"]." &amp;M$3&amp;".V :=" &amp;IF(ai!M64="",0,ai!M64)&amp;"; "</f>
        <v xml:space="preserve">AI[12].H.EN :=1; AI[12].H.V :=13; </v>
      </c>
      <c r="N64" s="237" t="str">
        <f>"AI["&amp;$A64&amp;"]." &amp;N$3&amp;".EN :=" &amp;IF(ai!N64="",0,1)&amp;"; " &amp; "AI["&amp;$A64&amp;"]." &amp;N$3&amp;".V :=" &amp;IF(ai!N64="",0,ai!N64)&amp;"; "</f>
        <v xml:space="preserve">AI[12].LL.EN :=1; AI[12].LL.V :=0; </v>
      </c>
      <c r="O64" s="237" t="str">
        <f>"AI["&amp;$A64&amp;"]." &amp;O$3&amp;".EN :=" &amp;IF(ai!O64="",0,1)&amp;"; " &amp; "AI["&amp;$A64&amp;"]." &amp;O$3&amp;".V :=" &amp;IF(ai!O64="",0,ai!O64)&amp;"; "</f>
        <v xml:space="preserve">AI[12].HH.EN :=1; AI[12].HH.V :=14; </v>
      </c>
    </row>
    <row r="65" spans="1:15">
      <c r="A65" s="236">
        <f>ai!$D65</f>
        <v>13</v>
      </c>
      <c r="C65" s="237" t="str">
        <f>"AI["&amp;A65&amp;"].En := "&amp;IF(ai!E65="",0,1)&amp;";"</f>
        <v>AI[13].En := 1;</v>
      </c>
      <c r="D65" s="237" t="str">
        <f>"AI["&amp;A65&amp;"].Group := "&amp;IF(ai!T65="",0,ai!T65)&amp;";"</f>
        <v>AI[13].Group := 2;</v>
      </c>
      <c r="E65" s="237" t="str">
        <f>"AI["&amp;A65&amp;"].isInvScale := "&amp;IF(ai!U65="",0,1)&amp;";"</f>
        <v>AI[13].isInvScale := 0;</v>
      </c>
      <c r="F65" s="237" t="str">
        <f>"AI["&amp;A65&amp;"].isCut := "&amp;IF(ai!V65="",0,1)&amp;"; "&amp;"AI["&amp;A65&amp;"].vCut := "&amp;IF(ai!V65="",0,ai!V65)&amp;"; "</f>
        <v xml:space="preserve">AI[13].isCut := 0; AI[13].vCut := 0; </v>
      </c>
      <c r="G65" s="237"/>
      <c r="H65" s="237" t="str">
        <f>"AI["&amp;A65&amp;"].ZL := "&amp;IF(ai!G65="",0,ai!G65)&amp;";"</f>
        <v>AI[13].ZL := 0;</v>
      </c>
      <c r="I65" s="237" t="str">
        <f>"AI["&amp;A65&amp;"].ZH := "&amp;IF(ai!H65="",0,ai!H65)&amp;";"</f>
        <v>AI[13].ZH := 2;</v>
      </c>
      <c r="J65" s="237" t="str">
        <f>"AI["&amp;$A65&amp;"]." &amp;J$3&amp;".EN :=" &amp;IF(ai!J65="",0,1)&amp;"; " &amp; "AI["&amp;$A65&amp;"]." &amp;J$3&amp;".V :=" &amp;IF(ai!J65="",0,ai!J65)&amp;"; "</f>
        <v xml:space="preserve">AI[13].RL.EN :=1; AI[13].RL.V :=0.95; </v>
      </c>
      <c r="K65" s="237" t="str">
        <f>"AI["&amp;$A65&amp;"]." &amp;K$3&amp;".EN :=" &amp;IF(ai!K65="",0,1)&amp;"; " &amp; "AI["&amp;$A65&amp;"]." &amp;K$3&amp;".V :=" &amp;IF(ai!K65="",0,ai!K65)&amp;"; "</f>
        <v xml:space="preserve">AI[13].RH.EN :=1; AI[13].RH.V :=1.05; </v>
      </c>
      <c r="L65" s="237" t="str">
        <f>"AI["&amp;$A65&amp;"]." &amp;L$3&amp;".EN :=" &amp;IF(ai!L65="",0,1)&amp;"; " &amp; "AI["&amp;$A65&amp;"]." &amp;L$3&amp;".V :=" &amp;IF(ai!L65="",0,ai!L65)&amp;"; "</f>
        <v xml:space="preserve">AI[13].L.EN :=1; AI[13].L.V :=0; </v>
      </c>
      <c r="M65" s="237" t="str">
        <f>"AI["&amp;$A65&amp;"]." &amp;M$3&amp;".EN :=" &amp;IF(ai!M65="",0,1)&amp;"; " &amp; "AI["&amp;$A65&amp;"]." &amp;M$3&amp;".V :=" &amp;IF(ai!M65="",0,ai!M65)&amp;"; "</f>
        <v xml:space="preserve">AI[13].H.EN :=1; AI[13].H.V :=0; </v>
      </c>
      <c r="N65" s="237" t="str">
        <f>"AI["&amp;$A65&amp;"]." &amp;N$3&amp;".EN :=" &amp;IF(ai!N65="",0,1)&amp;"; " &amp; "AI["&amp;$A65&amp;"]." &amp;N$3&amp;".V :=" &amp;IF(ai!N65="",0,ai!N65)&amp;"; "</f>
        <v xml:space="preserve">AI[13].LL.EN :=1; AI[13].LL.V :=0; </v>
      </c>
      <c r="O65" s="237" t="str">
        <f>"AI["&amp;$A65&amp;"]." &amp;O$3&amp;".EN :=" &amp;IF(ai!O65="",0,1)&amp;"; " &amp; "AI["&amp;$A65&amp;"]." &amp;O$3&amp;".V :=" &amp;IF(ai!O65="",0,ai!O65)&amp;"; "</f>
        <v xml:space="preserve">AI[13].HH.EN :=1; AI[13].HH.V :=0; </v>
      </c>
    </row>
    <row r="66" spans="1:15">
      <c r="A66" s="236">
        <f>ai!$D66</f>
        <v>14</v>
      </c>
      <c r="C66" s="237" t="str">
        <f>"AI["&amp;A66&amp;"].En := "&amp;IF(ai!E66="",0,1)&amp;";"</f>
        <v>AI[14].En := 1;</v>
      </c>
      <c r="D66" s="237" t="str">
        <f>"AI["&amp;A66&amp;"].Group := "&amp;IF(ai!T66="",0,ai!T66)&amp;";"</f>
        <v>AI[14].Group := 0;</v>
      </c>
      <c r="E66" s="237" t="str">
        <f>"AI["&amp;A66&amp;"].isInvScale := "&amp;IF(ai!U66="",0,1)&amp;";"</f>
        <v>AI[14].isInvScale := 0;</v>
      </c>
      <c r="F66" s="237" t="str">
        <f>"AI["&amp;A66&amp;"].isCut := "&amp;IF(ai!V66="",0,1)&amp;"; "&amp;"AI["&amp;A66&amp;"].vCut := "&amp;IF(ai!V66="",0,ai!V66)&amp;"; "</f>
        <v xml:space="preserve">AI[14].isCut := 0; AI[14].vCut := 0; </v>
      </c>
      <c r="G66" s="237"/>
      <c r="H66" s="237" t="str">
        <f>"AI["&amp;A66&amp;"].ZL := "&amp;IF(ai!G66="",0,ai!G66)&amp;";"</f>
        <v>AI[14].ZL := 0;</v>
      </c>
      <c r="I66" s="237" t="str">
        <f>"AI["&amp;A66&amp;"].ZH := "&amp;IF(ai!H66="",0,ai!H66)&amp;";"</f>
        <v>AI[14].ZH := 0;</v>
      </c>
      <c r="J66" s="237" t="str">
        <f>"AI["&amp;$A66&amp;"]." &amp;J$3&amp;".EN :=" &amp;IF(ai!J66="",0,1)&amp;"; " &amp; "AI["&amp;$A66&amp;"]." &amp;J$3&amp;".V :=" &amp;IF(ai!J66="",0,ai!J66)&amp;"; "</f>
        <v xml:space="preserve">AI[14].RL.EN :=1; AI[14].RL.V :=0; </v>
      </c>
      <c r="K66" s="237" t="str">
        <f>"AI["&amp;$A66&amp;"]." &amp;K$3&amp;".EN :=" &amp;IF(ai!K66="",0,1)&amp;"; " &amp; "AI["&amp;$A66&amp;"]." &amp;K$3&amp;".V :=" &amp;IF(ai!K66="",0,ai!K66)&amp;"; "</f>
        <v xml:space="preserve">AI[14].RH.EN :=1; AI[14].RH.V :=0; </v>
      </c>
      <c r="L66" s="237" t="str">
        <f>"AI["&amp;$A66&amp;"]." &amp;L$3&amp;".EN :=" &amp;IF(ai!L66="",0,1)&amp;"; " &amp; "AI["&amp;$A66&amp;"]." &amp;L$3&amp;".V :=" &amp;IF(ai!L66="",0,ai!L66)&amp;"; "</f>
        <v xml:space="preserve">AI[14].L.EN :=1; AI[14].L.V :=0; </v>
      </c>
      <c r="M66" s="237" t="str">
        <f>"AI["&amp;$A66&amp;"]." &amp;M$3&amp;".EN :=" &amp;IF(ai!M66="",0,1)&amp;"; " &amp; "AI["&amp;$A66&amp;"]." &amp;M$3&amp;".V :=" &amp;IF(ai!M66="",0,ai!M66)&amp;"; "</f>
        <v xml:space="preserve">AI[14].H.EN :=1; AI[14].H.V :=0; </v>
      </c>
      <c r="N66" s="237" t="str">
        <f>"AI["&amp;$A66&amp;"]." &amp;N$3&amp;".EN :=" &amp;IF(ai!N66="",0,1)&amp;"; " &amp; "AI["&amp;$A66&amp;"]." &amp;N$3&amp;".V :=" &amp;IF(ai!N66="",0,ai!N66)&amp;"; "</f>
        <v xml:space="preserve">AI[14].LL.EN :=1; AI[14].LL.V :=0; </v>
      </c>
      <c r="O66" s="237" t="str">
        <f>"AI["&amp;$A66&amp;"]." &amp;O$3&amp;".EN :=" &amp;IF(ai!O66="",0,1)&amp;"; " &amp; "AI["&amp;$A66&amp;"]." &amp;O$3&amp;".V :=" &amp;IF(ai!O66="",0,ai!O66)&amp;"; "</f>
        <v xml:space="preserve">AI[14].HH.EN :=1; AI[14].HH.V :=0; </v>
      </c>
    </row>
    <row r="67" spans="1:15">
      <c r="A67" s="236">
        <f>ai!$D67</f>
        <v>15</v>
      </c>
      <c r="C67" s="237" t="str">
        <f>"AI["&amp;A67&amp;"].En := "&amp;IF(ai!E67="",0,1)&amp;";"</f>
        <v>AI[15].En := 1;</v>
      </c>
      <c r="D67" s="237" t="str">
        <f>"AI["&amp;A67&amp;"].Group := "&amp;IF(ai!T67="",0,ai!T67)&amp;";"</f>
        <v>AI[15].Group := 0;</v>
      </c>
      <c r="E67" s="237" t="str">
        <f>"AI["&amp;A67&amp;"].isInvScale := "&amp;IF(ai!U67="",0,1)&amp;";"</f>
        <v>AI[15].isInvScale := 0;</v>
      </c>
      <c r="F67" s="237" t="str">
        <f>"AI["&amp;A67&amp;"].isCut := "&amp;IF(ai!V67="",0,1)&amp;"; "&amp;"AI["&amp;A67&amp;"].vCut := "&amp;IF(ai!V67="",0,ai!V67)&amp;"; "</f>
        <v xml:space="preserve">AI[15].isCut := 0; AI[15].vCut := 0; </v>
      </c>
      <c r="G67" s="237"/>
      <c r="H67" s="237" t="str">
        <f>"AI["&amp;A67&amp;"].ZL := "&amp;IF(ai!G67="",0,ai!G67)&amp;";"</f>
        <v>AI[15].ZL := 0;</v>
      </c>
      <c r="I67" s="237" t="str">
        <f>"AI["&amp;A67&amp;"].ZH := "&amp;IF(ai!H67="",0,ai!H67)&amp;";"</f>
        <v>AI[15].ZH := 0;</v>
      </c>
      <c r="J67" s="237" t="str">
        <f>"AI["&amp;$A67&amp;"]." &amp;J$3&amp;".EN :=" &amp;IF(ai!J67="",0,1)&amp;"; " &amp; "AI["&amp;$A67&amp;"]." &amp;J$3&amp;".V :=" &amp;IF(ai!J67="",0,ai!J67)&amp;"; "</f>
        <v xml:space="preserve">AI[15].RL.EN :=1; AI[15].RL.V :=0; </v>
      </c>
      <c r="K67" s="237" t="str">
        <f>"AI["&amp;$A67&amp;"]." &amp;K$3&amp;".EN :=" &amp;IF(ai!K67="",0,1)&amp;"; " &amp; "AI["&amp;$A67&amp;"]." &amp;K$3&amp;".V :=" &amp;IF(ai!K67="",0,ai!K67)&amp;"; "</f>
        <v xml:space="preserve">AI[15].RH.EN :=1; AI[15].RH.V :=0; </v>
      </c>
      <c r="L67" s="237" t="str">
        <f>"AI["&amp;$A67&amp;"]." &amp;L$3&amp;".EN :=" &amp;IF(ai!L67="",0,1)&amp;"; " &amp; "AI["&amp;$A67&amp;"]." &amp;L$3&amp;".V :=" &amp;IF(ai!L67="",0,ai!L67)&amp;"; "</f>
        <v xml:space="preserve">AI[15].L.EN :=1; AI[15].L.V :=0; </v>
      </c>
      <c r="M67" s="237" t="str">
        <f>"AI["&amp;$A67&amp;"]." &amp;M$3&amp;".EN :=" &amp;IF(ai!M67="",0,1)&amp;"; " &amp; "AI["&amp;$A67&amp;"]." &amp;M$3&amp;".V :=" &amp;IF(ai!M67="",0,ai!M67)&amp;"; "</f>
        <v xml:space="preserve">AI[15].H.EN :=1; AI[15].H.V :=0; </v>
      </c>
      <c r="N67" s="237" t="str">
        <f>"AI["&amp;$A67&amp;"]." &amp;N$3&amp;".EN :=" &amp;IF(ai!N67="",0,1)&amp;"; " &amp; "AI["&amp;$A67&amp;"]." &amp;N$3&amp;".V :=" &amp;IF(ai!N67="",0,ai!N67)&amp;"; "</f>
        <v xml:space="preserve">AI[15].LL.EN :=1; AI[15].LL.V :=0; </v>
      </c>
      <c r="O67" s="237" t="str">
        <f>"AI["&amp;$A67&amp;"]." &amp;O$3&amp;".EN :=" &amp;IF(ai!O67="",0,1)&amp;"; " &amp; "AI["&amp;$A67&amp;"]." &amp;O$3&amp;".V :=" &amp;IF(ai!O67="",0,ai!O67)&amp;"; "</f>
        <v xml:space="preserve">AI[15].HH.EN :=1; AI[15].HH.V :=0; </v>
      </c>
    </row>
    <row r="68" spans="1:15">
      <c r="C68" s="237"/>
      <c r="D68" s="237"/>
      <c r="E68" s="237"/>
      <c r="F68" s="237"/>
      <c r="G68" s="237"/>
      <c r="H68" s="237"/>
      <c r="I68" s="237"/>
      <c r="J68" s="237"/>
      <c r="K68" s="237"/>
      <c r="L68" s="237"/>
      <c r="M68" s="237"/>
      <c r="N68" s="237"/>
      <c r="O68" s="2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5</vt:i4>
      </vt:variant>
    </vt:vector>
  </HeadingPairs>
  <TitlesOfParts>
    <vt:vector size="11" baseType="lpstr">
      <vt:lpstr>A(I)</vt:lpstr>
      <vt:lpstr>A(O)</vt:lpstr>
      <vt:lpstr>D(I)</vt:lpstr>
      <vt:lpstr>D(O)</vt:lpstr>
      <vt:lpstr>ai</vt:lpstr>
      <vt:lpstr>Init_AI</vt:lpstr>
      <vt:lpstr>'A(I)'!Заголовки_для_печати</vt:lpstr>
      <vt:lpstr>'A(I)'!Область_печати</vt:lpstr>
      <vt:lpstr>'A(O)'!Область_печати</vt:lpstr>
      <vt:lpstr>'D(I)'!Область_печати</vt:lpstr>
      <vt:lpstr>'D(O)'!Область_печати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u02246</dc:creator>
  <cp:lastModifiedBy>Paul</cp:lastModifiedBy>
  <cp:lastPrinted>2013-03-07T05:58:55Z</cp:lastPrinted>
  <dcterms:created xsi:type="dcterms:W3CDTF">2008-10-02T08:54:45Z</dcterms:created>
  <dcterms:modified xsi:type="dcterms:W3CDTF">2014-10-27T08:58:09Z</dcterms:modified>
</cp:coreProperties>
</file>